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5\Tcbuh\САВОСЬКИНА\от Шандрак\экономист СОШ, МФЦ\для экономиста\3. МЕСЯЧНАЯ ОТЧЕТНОСТЬ\2021 год\до 10 числа Исполнение ПФХД\"/>
    </mc:Choice>
  </mc:AlternateContent>
  <xr:revisionPtr revIDLastSave="0" documentId="13_ncr:1_{4825C9ED-054D-4002-B8ED-95A21AB8B85F}" xr6:coauthVersionLast="47" xr6:coauthVersionMax="47" xr10:uidLastSave="{00000000-0000-0000-0000-000000000000}"/>
  <bookViews>
    <workbookView xWindow="-120" yWindow="-120" windowWidth="29040" windowHeight="15840" firstSheet="1" activeTab="11" xr2:uid="{00000000-000D-0000-FFFF-FFFF00000000}"/>
  </bookViews>
  <sheets>
    <sheet name="01.02.21" sheetId="31" r:id="rId1"/>
    <sheet name="01.03.21" sheetId="32" r:id="rId2"/>
    <sheet name="01.04.21" sheetId="33" r:id="rId3"/>
    <sheet name="01.05.21" sheetId="34" r:id="rId4"/>
    <sheet name="01.06.21" sheetId="35" r:id="rId5"/>
    <sheet name="01.07.21" sheetId="36" r:id="rId6"/>
    <sheet name="01.08.21" sheetId="37" r:id="rId7"/>
    <sheet name="01.09.21" sheetId="38" r:id="rId8"/>
    <sheet name="01.10.21" sheetId="39" r:id="rId9"/>
    <sheet name="01.11.21" sheetId="40" r:id="rId10"/>
    <sheet name="01.12.21" sheetId="41" r:id="rId11"/>
    <sheet name="01.01.22" sheetId="42" r:id="rId12"/>
  </sheets>
  <externalReferences>
    <externalReference r:id="rId13"/>
  </externalReferences>
  <definedNames>
    <definedName name="_xlnm.Print_Area" localSheetId="11">'01.01.22'!$A$1:$R$197</definedName>
    <definedName name="_xlnm.Print_Area" localSheetId="0">'01.02.21'!$A$1:$R$188</definedName>
    <definedName name="_xlnm.Print_Area" localSheetId="1">'01.03.21'!$A$1:$R$188</definedName>
    <definedName name="_xlnm.Print_Area" localSheetId="2">'01.04.21'!$A$1:$R$188</definedName>
    <definedName name="_xlnm.Print_Area" localSheetId="3">'01.05.21'!$A$1:$R$188</definedName>
    <definedName name="_xlnm.Print_Area" localSheetId="4">'01.06.21'!$A$1:$R$189</definedName>
    <definedName name="_xlnm.Print_Area" localSheetId="5">'01.07.21'!$A$1:$S$192</definedName>
    <definedName name="_xlnm.Print_Area" localSheetId="6">'01.08.21'!$A$1:$S$192</definedName>
    <definedName name="_xlnm.Print_Area" localSheetId="7">'01.09.21'!$A$1:$S$196</definedName>
    <definedName name="_xlnm.Print_Area" localSheetId="8">'01.10.21'!$A$1:$R$197</definedName>
    <definedName name="_xlnm.Print_Area" localSheetId="9">'01.11.21'!$A$1:$R$197</definedName>
    <definedName name="_xlnm.Print_Area" localSheetId="10">'01.12.21'!$A$1:$R$197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2" i="42" l="1"/>
  <c r="O162" i="42" s="1"/>
  <c r="J135" i="42"/>
  <c r="L135" i="42"/>
  <c r="M135" i="42"/>
  <c r="N135" i="42"/>
  <c r="I135" i="42"/>
  <c r="P136" i="42"/>
  <c r="K136" i="42"/>
  <c r="K99" i="42"/>
  <c r="O99" i="42" s="1"/>
  <c r="K98" i="42"/>
  <c r="I61" i="42"/>
  <c r="K63" i="42"/>
  <c r="O63" i="42" s="1"/>
  <c r="K55" i="42"/>
  <c r="O55" i="42" s="1"/>
  <c r="K54" i="42"/>
  <c r="K47" i="42"/>
  <c r="P33" i="42"/>
  <c r="P194" i="42"/>
  <c r="K194" i="42"/>
  <c r="O194" i="42" s="1"/>
  <c r="P193" i="42"/>
  <c r="K193" i="42"/>
  <c r="O193" i="42" s="1"/>
  <c r="N192" i="42"/>
  <c r="M192" i="42"/>
  <c r="L192" i="42"/>
  <c r="J192" i="42"/>
  <c r="I192" i="42"/>
  <c r="P189" i="42"/>
  <c r="K189" i="42"/>
  <c r="O189" i="42" s="1"/>
  <c r="N188" i="42"/>
  <c r="M188" i="42"/>
  <c r="L188" i="42"/>
  <c r="J188" i="42"/>
  <c r="P188" i="42" s="1"/>
  <c r="I188" i="42"/>
  <c r="P186" i="42"/>
  <c r="K186" i="42"/>
  <c r="O186" i="42" s="1"/>
  <c r="P185" i="42"/>
  <c r="K185" i="42"/>
  <c r="O185" i="42" s="1"/>
  <c r="J184" i="42"/>
  <c r="I184" i="42"/>
  <c r="P183" i="42"/>
  <c r="K183" i="42"/>
  <c r="O183" i="42" s="1"/>
  <c r="P182" i="42"/>
  <c r="K182" i="42"/>
  <c r="J181" i="42"/>
  <c r="I181" i="42"/>
  <c r="P180" i="42"/>
  <c r="K180" i="42"/>
  <c r="O180" i="42" s="1"/>
  <c r="K179" i="42"/>
  <c r="J178" i="42"/>
  <c r="I178" i="42"/>
  <c r="P178" i="42" s="1"/>
  <c r="P177" i="42"/>
  <c r="O177" i="42"/>
  <c r="K177" i="42"/>
  <c r="P176" i="42"/>
  <c r="L176" i="42"/>
  <c r="L173" i="42" s="1"/>
  <c r="K176" i="42"/>
  <c r="O176" i="42" s="1"/>
  <c r="K175" i="42"/>
  <c r="K174" i="42"/>
  <c r="J173" i="42"/>
  <c r="I173" i="42"/>
  <c r="P172" i="42"/>
  <c r="L172" i="42"/>
  <c r="K172" i="42"/>
  <c r="O172" i="42" s="1"/>
  <c r="L171" i="42"/>
  <c r="J171" i="42"/>
  <c r="I171" i="42"/>
  <c r="L170" i="42"/>
  <c r="L169" i="42" s="1"/>
  <c r="L168" i="42" s="1"/>
  <c r="L167" i="42" s="1"/>
  <c r="I170" i="42"/>
  <c r="J169" i="42"/>
  <c r="I169" i="42"/>
  <c r="K169" i="42" s="1"/>
  <c r="O169" i="42" s="1"/>
  <c r="N168" i="42"/>
  <c r="M168" i="42"/>
  <c r="J168" i="42"/>
  <c r="I168" i="42"/>
  <c r="K168" i="42" s="1"/>
  <c r="O168" i="42" s="1"/>
  <c r="N167" i="42"/>
  <c r="M167" i="42"/>
  <c r="J167" i="42"/>
  <c r="I167" i="42"/>
  <c r="K167" i="42" s="1"/>
  <c r="O167" i="42" s="1"/>
  <c r="P165" i="42"/>
  <c r="O165" i="42"/>
  <c r="K165" i="42"/>
  <c r="K163" i="42"/>
  <c r="J163" i="42"/>
  <c r="I163" i="42"/>
  <c r="O163" i="42" s="1"/>
  <c r="P162" i="42"/>
  <c r="L162" i="42"/>
  <c r="L161" i="42"/>
  <c r="J161" i="42"/>
  <c r="I161" i="42"/>
  <c r="P160" i="42"/>
  <c r="L160" i="42"/>
  <c r="K160" i="42"/>
  <c r="O160" i="42" s="1"/>
  <c r="L159" i="42"/>
  <c r="J159" i="42"/>
  <c r="I159" i="42"/>
  <c r="P158" i="42"/>
  <c r="L158" i="42"/>
  <c r="K158" i="42"/>
  <c r="O158" i="42" s="1"/>
  <c r="L157" i="42"/>
  <c r="L156" i="42" s="1"/>
  <c r="J157" i="42"/>
  <c r="I157" i="42"/>
  <c r="I156" i="42" s="1"/>
  <c r="N156" i="42"/>
  <c r="M156" i="42"/>
  <c r="M155" i="42" s="1"/>
  <c r="J156" i="42"/>
  <c r="N155" i="42"/>
  <c r="P153" i="42"/>
  <c r="O153" i="42"/>
  <c r="K153" i="42"/>
  <c r="K152" i="42"/>
  <c r="J152" i="42"/>
  <c r="I152" i="42"/>
  <c r="P152" i="42" s="1"/>
  <c r="P151" i="42"/>
  <c r="O151" i="42"/>
  <c r="K151" i="42"/>
  <c r="K150" i="42"/>
  <c r="J150" i="42"/>
  <c r="I150" i="42"/>
  <c r="P149" i="42"/>
  <c r="K149" i="42"/>
  <c r="O149" i="42" s="1"/>
  <c r="P148" i="42"/>
  <c r="K148" i="42"/>
  <c r="J147" i="42"/>
  <c r="I147" i="42"/>
  <c r="P146" i="42"/>
  <c r="L146" i="42"/>
  <c r="K146" i="42"/>
  <c r="O146" i="42" s="1"/>
  <c r="L145" i="42"/>
  <c r="J145" i="42"/>
  <c r="I145" i="42"/>
  <c r="P144" i="42"/>
  <c r="K144" i="42"/>
  <c r="J143" i="42"/>
  <c r="I143" i="42"/>
  <c r="P142" i="42"/>
  <c r="K142" i="42"/>
  <c r="P141" i="42"/>
  <c r="K141" i="42"/>
  <c r="O141" i="42" s="1"/>
  <c r="N140" i="42"/>
  <c r="M140" i="42"/>
  <c r="L140" i="42"/>
  <c r="J140" i="42"/>
  <c r="I140" i="42"/>
  <c r="P139" i="42"/>
  <c r="K139" i="42"/>
  <c r="J138" i="42"/>
  <c r="I138" i="42"/>
  <c r="P137" i="42"/>
  <c r="K137" i="42"/>
  <c r="P134" i="42"/>
  <c r="K134" i="42"/>
  <c r="P133" i="42"/>
  <c r="K133" i="42"/>
  <c r="O133" i="42" s="1"/>
  <c r="J132" i="42"/>
  <c r="I132" i="42"/>
  <c r="P132" i="42" s="1"/>
  <c r="P131" i="42"/>
  <c r="O131" i="42"/>
  <c r="K131" i="42"/>
  <c r="O130" i="42"/>
  <c r="K130" i="42"/>
  <c r="O129" i="42"/>
  <c r="K129" i="42"/>
  <c r="I128" i="42"/>
  <c r="P127" i="42"/>
  <c r="O127" i="42"/>
  <c r="K127" i="42"/>
  <c r="N125" i="42"/>
  <c r="N110" i="42" s="1"/>
  <c r="M125" i="42"/>
  <c r="M110" i="42" s="1"/>
  <c r="L125" i="42"/>
  <c r="J125" i="42"/>
  <c r="P124" i="42"/>
  <c r="K124" i="42"/>
  <c r="P123" i="42"/>
  <c r="K123" i="42"/>
  <c r="J122" i="42"/>
  <c r="I122" i="42"/>
  <c r="P121" i="42"/>
  <c r="K121" i="42"/>
  <c r="P120" i="42"/>
  <c r="K120" i="42"/>
  <c r="J119" i="42"/>
  <c r="I119" i="42"/>
  <c r="K118" i="42"/>
  <c r="K117" i="42"/>
  <c r="J116" i="42"/>
  <c r="P115" i="42"/>
  <c r="L115" i="42"/>
  <c r="L114" i="42" s="1"/>
  <c r="K115" i="42"/>
  <c r="O115" i="42" s="1"/>
  <c r="K114" i="42"/>
  <c r="J114" i="42"/>
  <c r="I114" i="42"/>
  <c r="O114" i="42" s="1"/>
  <c r="P113" i="42"/>
  <c r="L113" i="42"/>
  <c r="L112" i="42" s="1"/>
  <c r="L111" i="42" s="1"/>
  <c r="K113" i="42"/>
  <c r="O113" i="42" s="1"/>
  <c r="K112" i="42"/>
  <c r="J112" i="42"/>
  <c r="I112" i="42"/>
  <c r="P108" i="42"/>
  <c r="L108" i="42"/>
  <c r="L106" i="42" s="1"/>
  <c r="K108" i="42"/>
  <c r="O108" i="42" s="1"/>
  <c r="P107" i="42"/>
  <c r="K107" i="42"/>
  <c r="O107" i="42" s="1"/>
  <c r="J106" i="42"/>
  <c r="I106" i="42"/>
  <c r="L105" i="42"/>
  <c r="I105" i="42"/>
  <c r="P105" i="42" s="1"/>
  <c r="P104" i="42"/>
  <c r="K104" i="42"/>
  <c r="O104" i="42" s="1"/>
  <c r="J103" i="42"/>
  <c r="I103" i="42"/>
  <c r="P102" i="42"/>
  <c r="K102" i="42"/>
  <c r="O102" i="42" s="1"/>
  <c r="P101" i="42"/>
  <c r="O101" i="42"/>
  <c r="K101" i="42"/>
  <c r="J100" i="42"/>
  <c r="I100" i="42"/>
  <c r="P99" i="42"/>
  <c r="P98" i="42"/>
  <c r="J97" i="42"/>
  <c r="I97" i="42"/>
  <c r="P96" i="42"/>
  <c r="K96" i="42"/>
  <c r="O96" i="42" s="1"/>
  <c r="P95" i="42"/>
  <c r="K95" i="42"/>
  <c r="O95" i="42" s="1"/>
  <c r="J94" i="42"/>
  <c r="I94" i="42"/>
  <c r="L92" i="42"/>
  <c r="P92" i="42"/>
  <c r="L91" i="42"/>
  <c r="N90" i="42"/>
  <c r="M90" i="42"/>
  <c r="J90" i="42"/>
  <c r="I90" i="42"/>
  <c r="N89" i="42"/>
  <c r="L89" i="42"/>
  <c r="N88" i="42"/>
  <c r="L88" i="42"/>
  <c r="J88" i="42"/>
  <c r="M87" i="42"/>
  <c r="M89" i="42" s="1"/>
  <c r="M88" i="42" s="1"/>
  <c r="K87" i="42"/>
  <c r="O87" i="42" s="1"/>
  <c r="P86" i="42"/>
  <c r="K86" i="42"/>
  <c r="O86" i="42" s="1"/>
  <c r="J85" i="42"/>
  <c r="P85" i="42" s="1"/>
  <c r="I85" i="42"/>
  <c r="L84" i="42"/>
  <c r="P83" i="42"/>
  <c r="N83" i="42"/>
  <c r="M83" i="42"/>
  <c r="L83" i="42"/>
  <c r="K83" i="42"/>
  <c r="O83" i="42" s="1"/>
  <c r="N82" i="42"/>
  <c r="N81" i="42" s="1"/>
  <c r="N80" i="42" s="1"/>
  <c r="N79" i="42" s="1"/>
  <c r="M82" i="42"/>
  <c r="M81" i="42" s="1"/>
  <c r="L82" i="42"/>
  <c r="K82" i="42"/>
  <c r="P82" i="42"/>
  <c r="L81" i="42"/>
  <c r="J81" i="42"/>
  <c r="L80" i="42"/>
  <c r="N76" i="42"/>
  <c r="M76" i="42"/>
  <c r="L76" i="42"/>
  <c r="N75" i="42"/>
  <c r="N74" i="42" s="1"/>
  <c r="M75" i="42"/>
  <c r="M74" i="42" s="1"/>
  <c r="L75" i="42"/>
  <c r="P72" i="42"/>
  <c r="N72" i="42"/>
  <c r="M72" i="42"/>
  <c r="L72" i="42"/>
  <c r="K72" i="42"/>
  <c r="O72" i="42" s="1"/>
  <c r="J71" i="42"/>
  <c r="I71" i="42"/>
  <c r="P70" i="42"/>
  <c r="O70" i="42"/>
  <c r="N70" i="42"/>
  <c r="M70" i="42"/>
  <c r="L70" i="42"/>
  <c r="P69" i="42"/>
  <c r="N69" i="42"/>
  <c r="M69" i="42"/>
  <c r="L69" i="42"/>
  <c r="K69" i="42"/>
  <c r="O69" i="42" s="1"/>
  <c r="K68" i="42"/>
  <c r="J68" i="42"/>
  <c r="O68" i="42" s="1"/>
  <c r="I68" i="42"/>
  <c r="P67" i="42"/>
  <c r="L67" i="42"/>
  <c r="K67" i="42"/>
  <c r="O67" i="42" s="1"/>
  <c r="M66" i="42"/>
  <c r="K66" i="42"/>
  <c r="O66" i="42" s="1"/>
  <c r="P65" i="42"/>
  <c r="K65" i="42"/>
  <c r="O65" i="42" s="1"/>
  <c r="P64" i="42"/>
  <c r="N64" i="42"/>
  <c r="M64" i="42"/>
  <c r="L64" i="42"/>
  <c r="K64" i="42"/>
  <c r="O64" i="42" s="1"/>
  <c r="P63" i="42"/>
  <c r="K62" i="42"/>
  <c r="J62" i="42"/>
  <c r="J61" i="42" s="1"/>
  <c r="I62" i="42"/>
  <c r="N61" i="42"/>
  <c r="M61" i="42"/>
  <c r="P60" i="42"/>
  <c r="L60" i="42"/>
  <c r="K60" i="42"/>
  <c r="O60" i="42" s="1"/>
  <c r="N59" i="42"/>
  <c r="M59" i="42"/>
  <c r="L59" i="42"/>
  <c r="K59" i="42"/>
  <c r="J59" i="42"/>
  <c r="I59" i="42"/>
  <c r="P58" i="42"/>
  <c r="K58" i="42"/>
  <c r="O58" i="42" s="1"/>
  <c r="P57" i="42"/>
  <c r="K57" i="42"/>
  <c r="O57" i="42" s="1"/>
  <c r="J56" i="42"/>
  <c r="I56" i="42"/>
  <c r="P55" i="42"/>
  <c r="P54" i="42"/>
  <c r="O54" i="42"/>
  <c r="J53" i="42"/>
  <c r="I53" i="42"/>
  <c r="P52" i="42"/>
  <c r="K52" i="42"/>
  <c r="O52" i="42" s="1"/>
  <c r="P51" i="42"/>
  <c r="K51" i="42"/>
  <c r="O51" i="42" s="1"/>
  <c r="J50" i="42"/>
  <c r="I50" i="42"/>
  <c r="P49" i="42"/>
  <c r="K49" i="42"/>
  <c r="K48" i="42" s="1"/>
  <c r="P48" i="42"/>
  <c r="J48" i="42"/>
  <c r="I48" i="42"/>
  <c r="N47" i="42"/>
  <c r="N48" i="42" s="1"/>
  <c r="M47" i="42"/>
  <c r="M48" i="42" s="1"/>
  <c r="L47" i="42"/>
  <c r="L48" i="42" s="1"/>
  <c r="P47" i="42"/>
  <c r="J46" i="42"/>
  <c r="I46" i="42"/>
  <c r="P45" i="42"/>
  <c r="K45" i="42"/>
  <c r="O45" i="42" s="1"/>
  <c r="T44" i="42"/>
  <c r="P44" i="42"/>
  <c r="K44" i="42"/>
  <c r="O44" i="42" s="1"/>
  <c r="P43" i="42"/>
  <c r="K43" i="42"/>
  <c r="O43" i="42" s="1"/>
  <c r="T42" i="42"/>
  <c r="S42" i="42" s="1"/>
  <c r="P42" i="42"/>
  <c r="K42" i="42"/>
  <c r="O42" i="42" s="1"/>
  <c r="J41" i="42"/>
  <c r="I41" i="42"/>
  <c r="L40" i="42"/>
  <c r="I40" i="42"/>
  <c r="O40" i="42" s="1"/>
  <c r="P39" i="42"/>
  <c r="K39" i="42"/>
  <c r="O39" i="42" s="1"/>
  <c r="M38" i="42"/>
  <c r="I38" i="42"/>
  <c r="O38" i="42" s="1"/>
  <c r="M37" i="42"/>
  <c r="M34" i="42" s="1"/>
  <c r="M32" i="42" s="1"/>
  <c r="I37" i="42"/>
  <c r="P36" i="42"/>
  <c r="O36" i="42"/>
  <c r="K36" i="42"/>
  <c r="O35" i="42"/>
  <c r="K35" i="42"/>
  <c r="P34" i="42"/>
  <c r="N34" i="42"/>
  <c r="N32" i="42" s="1"/>
  <c r="L34" i="42"/>
  <c r="K34" i="42"/>
  <c r="O34" i="42" s="1"/>
  <c r="L33" i="42"/>
  <c r="J32" i="42"/>
  <c r="K31" i="42"/>
  <c r="O31" i="42" s="1"/>
  <c r="P30" i="42"/>
  <c r="M30" i="42"/>
  <c r="K30" i="42"/>
  <c r="O30" i="42" s="1"/>
  <c r="M29" i="42"/>
  <c r="I29" i="42"/>
  <c r="P29" i="42" s="1"/>
  <c r="P28" i="42"/>
  <c r="L28" i="42"/>
  <c r="K28" i="42"/>
  <c r="O28" i="42" s="1"/>
  <c r="L27" i="42"/>
  <c r="I27" i="42"/>
  <c r="L26" i="42"/>
  <c r="P26" i="42"/>
  <c r="L25" i="42"/>
  <c r="K25" i="42"/>
  <c r="O25" i="42" s="1"/>
  <c r="P25" i="42"/>
  <c r="L24" i="42"/>
  <c r="K24" i="42"/>
  <c r="O24" i="42" s="1"/>
  <c r="L23" i="42"/>
  <c r="L22" i="42" s="1"/>
  <c r="L21" i="42" s="1"/>
  <c r="I23" i="42"/>
  <c r="P23" i="42" s="1"/>
  <c r="N22" i="42"/>
  <c r="M22" i="42"/>
  <c r="J22" i="42"/>
  <c r="P21" i="42"/>
  <c r="K21" i="42"/>
  <c r="O21" i="42" s="1"/>
  <c r="P20" i="42"/>
  <c r="K20" i="42"/>
  <c r="K19" i="42"/>
  <c r="O19" i="42" s="1"/>
  <c r="N18" i="42"/>
  <c r="M18" i="42"/>
  <c r="L18" i="42"/>
  <c r="J18" i="42"/>
  <c r="I18" i="42"/>
  <c r="P17" i="42"/>
  <c r="K17" i="42"/>
  <c r="O17" i="42" s="1"/>
  <c r="P16" i="42"/>
  <c r="K16" i="42"/>
  <c r="O16" i="42" s="1"/>
  <c r="O15" i="42" s="1"/>
  <c r="J15" i="42"/>
  <c r="I15" i="42"/>
  <c r="V11" i="42"/>
  <c r="T11" i="42"/>
  <c r="N11" i="42"/>
  <c r="N10" i="42" s="1"/>
  <c r="M11" i="42"/>
  <c r="M10" i="42" s="1"/>
  <c r="P105" i="41"/>
  <c r="J90" i="41"/>
  <c r="J26" i="41"/>
  <c r="V11" i="41"/>
  <c r="T11" i="41"/>
  <c r="K135" i="42" l="1"/>
  <c r="O136" i="42"/>
  <c r="K61" i="42"/>
  <c r="P15" i="42"/>
  <c r="K23" i="42"/>
  <c r="O23" i="42" s="1"/>
  <c r="S44" i="42"/>
  <c r="S41" i="42" s="1"/>
  <c r="P59" i="42"/>
  <c r="P100" i="42"/>
  <c r="K105" i="42"/>
  <c r="K103" i="42" s="1"/>
  <c r="O103" i="42" s="1"/>
  <c r="K106" i="42"/>
  <c r="O106" i="42" s="1"/>
  <c r="P112" i="42"/>
  <c r="P114" i="42"/>
  <c r="K116" i="42"/>
  <c r="P150" i="42"/>
  <c r="P97" i="42"/>
  <c r="J80" i="42"/>
  <c r="J79" i="42" s="1"/>
  <c r="J78" i="42" s="1"/>
  <c r="J77" i="42" s="1"/>
  <c r="J76" i="42" s="1"/>
  <c r="K18" i="42"/>
  <c r="L32" i="42"/>
  <c r="P38" i="42"/>
  <c r="P117" i="42"/>
  <c r="P126" i="42"/>
  <c r="K29" i="42"/>
  <c r="O29" i="42" s="1"/>
  <c r="P40" i="42"/>
  <c r="P41" i="42"/>
  <c r="M46" i="42"/>
  <c r="O59" i="42"/>
  <c r="P62" i="42"/>
  <c r="L61" i="42"/>
  <c r="K85" i="42"/>
  <c r="O85" i="42" s="1"/>
  <c r="P90" i="42"/>
  <c r="L90" i="42"/>
  <c r="L79" i="42" s="1"/>
  <c r="K92" i="42"/>
  <c r="O92" i="42" s="1"/>
  <c r="K94" i="42"/>
  <c r="O94" i="42" s="1"/>
  <c r="P103" i="42"/>
  <c r="P106" i="42"/>
  <c r="L74" i="42"/>
  <c r="O112" i="42"/>
  <c r="I116" i="42"/>
  <c r="I111" i="42" s="1"/>
  <c r="O118" i="42"/>
  <c r="O117" i="42" s="1"/>
  <c r="P118" i="42"/>
  <c r="P122" i="42"/>
  <c r="K126" i="42"/>
  <c r="O126" i="42" s="1"/>
  <c r="P135" i="42"/>
  <c r="P140" i="42"/>
  <c r="P145" i="42"/>
  <c r="O150" i="42"/>
  <c r="P157" i="42"/>
  <c r="P161" i="42"/>
  <c r="P167" i="42"/>
  <c r="P168" i="42"/>
  <c r="P169" i="42"/>
  <c r="L155" i="42"/>
  <c r="P171" i="42"/>
  <c r="J155" i="42"/>
  <c r="P181" i="42"/>
  <c r="K184" i="42"/>
  <c r="O184" i="42" s="1"/>
  <c r="P61" i="42"/>
  <c r="P53" i="42"/>
  <c r="K53" i="42"/>
  <c r="O53" i="42" s="1"/>
  <c r="O48" i="42"/>
  <c r="O49" i="42"/>
  <c r="P46" i="42"/>
  <c r="I32" i="42"/>
  <c r="P32" i="42" s="1"/>
  <c r="P18" i="42"/>
  <c r="O20" i="42"/>
  <c r="O18" i="42" s="1"/>
  <c r="K15" i="42"/>
  <c r="M9" i="42"/>
  <c r="M8" i="42" s="1"/>
  <c r="M6" i="42" s="1"/>
  <c r="J75" i="42"/>
  <c r="M16" i="42"/>
  <c r="M15" i="42" s="1"/>
  <c r="M14" i="42" s="1"/>
  <c r="M13" i="42" s="1"/>
  <c r="K26" i="42"/>
  <c r="O26" i="42" s="1"/>
  <c r="P27" i="42"/>
  <c r="P37" i="42"/>
  <c r="J14" i="42"/>
  <c r="J13" i="42" s="1"/>
  <c r="L16" i="42"/>
  <c r="I22" i="42"/>
  <c r="I14" i="42" s="1"/>
  <c r="I13" i="42" s="1"/>
  <c r="K27" i="42"/>
  <c r="O27" i="42" s="1"/>
  <c r="K33" i="42"/>
  <c r="O33" i="42" s="1"/>
  <c r="K37" i="42"/>
  <c r="O37" i="42" s="1"/>
  <c r="K41" i="42"/>
  <c r="O41" i="42" s="1"/>
  <c r="L46" i="42"/>
  <c r="L45" i="42" s="1"/>
  <c r="N46" i="42"/>
  <c r="N9" i="42" s="1"/>
  <c r="N8" i="42" s="1"/>
  <c r="N6" i="42" s="1"/>
  <c r="K46" i="42"/>
  <c r="K50" i="42"/>
  <c r="O50" i="42" s="1"/>
  <c r="P50" i="42"/>
  <c r="K56" i="42"/>
  <c r="O56" i="42" s="1"/>
  <c r="P56" i="42"/>
  <c r="O62" i="42"/>
  <c r="O61" i="42" s="1"/>
  <c r="P68" i="42"/>
  <c r="K71" i="42"/>
  <c r="O71" i="42" s="1"/>
  <c r="P71" i="42"/>
  <c r="K84" i="42"/>
  <c r="O84" i="42" s="1"/>
  <c r="I81" i="42"/>
  <c r="P84" i="42"/>
  <c r="I88" i="42"/>
  <c r="J201" i="42"/>
  <c r="J203" i="42" s="1"/>
  <c r="K91" i="42"/>
  <c r="P91" i="42"/>
  <c r="P94" i="42"/>
  <c r="K100" i="42"/>
  <c r="O100" i="42" s="1"/>
  <c r="L110" i="42"/>
  <c r="K128" i="42"/>
  <c r="I125" i="42"/>
  <c r="O128" i="42"/>
  <c r="O134" i="42"/>
  <c r="K132" i="42"/>
  <c r="P138" i="42"/>
  <c r="P143" i="42"/>
  <c r="P147" i="42"/>
  <c r="M80" i="42"/>
  <c r="M79" i="42" s="1"/>
  <c r="O82" i="42"/>
  <c r="K89" i="42"/>
  <c r="K88" i="42" s="1"/>
  <c r="O98" i="42"/>
  <c r="K97" i="42"/>
  <c r="O97" i="42" s="1"/>
  <c r="O105" i="42"/>
  <c r="P119" i="42"/>
  <c r="J111" i="42"/>
  <c r="O139" i="42"/>
  <c r="K138" i="42"/>
  <c r="O138" i="42" s="1"/>
  <c r="O144" i="42"/>
  <c r="K143" i="42"/>
  <c r="O143" i="42" s="1"/>
  <c r="P89" i="42"/>
  <c r="P88" i="42" s="1"/>
  <c r="O121" i="42"/>
  <c r="O120" i="42" s="1"/>
  <c r="K119" i="42"/>
  <c r="O124" i="42"/>
  <c r="O123" i="42" s="1"/>
  <c r="K122" i="42"/>
  <c r="K125" i="42"/>
  <c r="O132" i="42"/>
  <c r="O137" i="42"/>
  <c r="O135" i="42"/>
  <c r="O142" i="42"/>
  <c r="K140" i="42"/>
  <c r="O140" i="42" s="1"/>
  <c r="I155" i="42"/>
  <c r="P156" i="42"/>
  <c r="K157" i="42"/>
  <c r="O157" i="42" s="1"/>
  <c r="P159" i="42"/>
  <c r="K161" i="42"/>
  <c r="O161" i="42" s="1"/>
  <c r="P163" i="42"/>
  <c r="K170" i="42"/>
  <c r="O170" i="42" s="1"/>
  <c r="P170" i="42"/>
  <c r="K178" i="42"/>
  <c r="O178" i="42" s="1"/>
  <c r="O182" i="42"/>
  <c r="K181" i="42"/>
  <c r="O181" i="42" s="1"/>
  <c r="P184" i="42"/>
  <c r="P192" i="42"/>
  <c r="O148" i="42"/>
  <c r="K147" i="42"/>
  <c r="O147" i="42" s="1"/>
  <c r="O152" i="42"/>
  <c r="K156" i="42"/>
  <c r="K159" i="42"/>
  <c r="O159" i="42" s="1"/>
  <c r="P173" i="42"/>
  <c r="K192" i="42"/>
  <c r="O192" i="42" s="1"/>
  <c r="K145" i="42"/>
  <c r="O145" i="42" s="1"/>
  <c r="K171" i="42"/>
  <c r="O171" i="42" s="1"/>
  <c r="K173" i="42"/>
  <c r="O173" i="42" s="1"/>
  <c r="K188" i="42"/>
  <c r="O188" i="42" s="1"/>
  <c r="I90" i="41"/>
  <c r="I26" i="41"/>
  <c r="P155" i="42" l="1"/>
  <c r="K22" i="42"/>
  <c r="K14" i="42" s="1"/>
  <c r="O22" i="42"/>
  <c r="P116" i="42"/>
  <c r="K90" i="42"/>
  <c r="K111" i="42"/>
  <c r="K110" i="42" s="1"/>
  <c r="K81" i="42"/>
  <c r="K80" i="42" s="1"/>
  <c r="K79" i="42" s="1"/>
  <c r="K78" i="42" s="1"/>
  <c r="K77" i="42" s="1"/>
  <c r="K76" i="42" s="1"/>
  <c r="K75" i="42" s="1"/>
  <c r="K74" i="42" s="1"/>
  <c r="O91" i="42"/>
  <c r="O90" i="42" s="1"/>
  <c r="O32" i="42"/>
  <c r="O47" i="42"/>
  <c r="O46" i="42" s="1"/>
  <c r="O14" i="42"/>
  <c r="O111" i="42"/>
  <c r="I110" i="42"/>
  <c r="K32" i="42"/>
  <c r="N16" i="42"/>
  <c r="N15" i="42" s="1"/>
  <c r="N14" i="42" s="1"/>
  <c r="N13" i="42" s="1"/>
  <c r="L15" i="42"/>
  <c r="L14" i="42" s="1"/>
  <c r="L13" i="42" s="1"/>
  <c r="L12" i="42" s="1"/>
  <c r="L11" i="42" s="1"/>
  <c r="L10" i="42" s="1"/>
  <c r="L9" i="42" s="1"/>
  <c r="L8" i="42" s="1"/>
  <c r="L6" i="42" s="1"/>
  <c r="P22" i="42"/>
  <c r="K155" i="42"/>
  <c r="O155" i="42" s="1"/>
  <c r="P111" i="42"/>
  <c r="J110" i="42"/>
  <c r="O156" i="42"/>
  <c r="O125" i="42"/>
  <c r="P125" i="42"/>
  <c r="I80" i="42"/>
  <c r="P81" i="42"/>
  <c r="I12" i="42"/>
  <c r="P14" i="42"/>
  <c r="J74" i="42"/>
  <c r="O89" i="42"/>
  <c r="O88" i="42" s="1"/>
  <c r="I170" i="41"/>
  <c r="I119" i="41"/>
  <c r="I118" i="41"/>
  <c r="K118" i="41" s="1"/>
  <c r="I106" i="41"/>
  <c r="I93" i="41"/>
  <c r="I92" i="41"/>
  <c r="I91" i="41" s="1"/>
  <c r="I85" i="41"/>
  <c r="I83" i="41"/>
  <c r="P194" i="41"/>
  <c r="K194" i="41"/>
  <c r="O194" i="41" s="1"/>
  <c r="P193" i="41"/>
  <c r="K193" i="41"/>
  <c r="O193" i="41" s="1"/>
  <c r="N192" i="41"/>
  <c r="M192" i="41"/>
  <c r="L192" i="41"/>
  <c r="J192" i="41"/>
  <c r="P192" i="41" s="1"/>
  <c r="I192" i="41"/>
  <c r="P189" i="41"/>
  <c r="K189" i="41"/>
  <c r="O189" i="41" s="1"/>
  <c r="N188" i="41"/>
  <c r="M188" i="41"/>
  <c r="L188" i="41"/>
  <c r="J188" i="41"/>
  <c r="I188" i="41"/>
  <c r="P186" i="41"/>
  <c r="K186" i="41"/>
  <c r="O186" i="41" s="1"/>
  <c r="J184" i="41"/>
  <c r="I184" i="41"/>
  <c r="P183" i="41"/>
  <c r="K183" i="41"/>
  <c r="O183" i="41" s="1"/>
  <c r="P182" i="41"/>
  <c r="K182" i="41"/>
  <c r="K181" i="41" s="1"/>
  <c r="J181" i="41"/>
  <c r="I181" i="41"/>
  <c r="P180" i="41"/>
  <c r="K180" i="41"/>
  <c r="O180" i="41" s="1"/>
  <c r="K179" i="41"/>
  <c r="K178" i="41"/>
  <c r="J178" i="41"/>
  <c r="I178" i="41"/>
  <c r="O178" i="41" s="1"/>
  <c r="P177" i="41"/>
  <c r="K177" i="41"/>
  <c r="O177" i="41" s="1"/>
  <c r="P176" i="41"/>
  <c r="L176" i="41"/>
  <c r="K176" i="41"/>
  <c r="O176" i="41" s="1"/>
  <c r="K175" i="41"/>
  <c r="K174" i="41"/>
  <c r="L173" i="41"/>
  <c r="J173" i="41"/>
  <c r="K173" i="41" s="1"/>
  <c r="I173" i="41"/>
  <c r="P172" i="41"/>
  <c r="L172" i="41"/>
  <c r="K172" i="41"/>
  <c r="O172" i="41" s="1"/>
  <c r="L171" i="41"/>
  <c r="J171" i="41"/>
  <c r="I171" i="41"/>
  <c r="P170" i="41"/>
  <c r="L170" i="41"/>
  <c r="K170" i="41"/>
  <c r="O170" i="41" s="1"/>
  <c r="L169" i="41"/>
  <c r="J169" i="41"/>
  <c r="I169" i="41"/>
  <c r="K169" i="41" s="1"/>
  <c r="N168" i="41"/>
  <c r="M168" i="41"/>
  <c r="L168" i="41"/>
  <c r="J168" i="41"/>
  <c r="J167" i="41" s="1"/>
  <c r="N167" i="41"/>
  <c r="M167" i="41"/>
  <c r="L167" i="41"/>
  <c r="P165" i="41"/>
  <c r="K165" i="41"/>
  <c r="O165" i="41" s="1"/>
  <c r="J163" i="41"/>
  <c r="P163" i="41" s="1"/>
  <c r="I163" i="41"/>
  <c r="P162" i="41"/>
  <c r="L162" i="41"/>
  <c r="K162" i="41"/>
  <c r="O162" i="41" s="1"/>
  <c r="L161" i="41"/>
  <c r="J161" i="41"/>
  <c r="P161" i="41" s="1"/>
  <c r="I161" i="41"/>
  <c r="P160" i="41"/>
  <c r="L160" i="41"/>
  <c r="K160" i="41"/>
  <c r="O160" i="41" s="1"/>
  <c r="L159" i="41"/>
  <c r="J159" i="41"/>
  <c r="I159" i="41"/>
  <c r="P158" i="41"/>
  <c r="L158" i="41"/>
  <c r="K158" i="41"/>
  <c r="O158" i="41" s="1"/>
  <c r="L157" i="41"/>
  <c r="J157" i="41"/>
  <c r="I157" i="41"/>
  <c r="N156" i="41"/>
  <c r="M156" i="41"/>
  <c r="L156" i="41"/>
  <c r="I156" i="41"/>
  <c r="N155" i="41"/>
  <c r="M155" i="41"/>
  <c r="L155" i="41"/>
  <c r="P153" i="41"/>
  <c r="K153" i="41"/>
  <c r="O153" i="41" s="1"/>
  <c r="J152" i="41"/>
  <c r="I152" i="41"/>
  <c r="P151" i="41"/>
  <c r="K151" i="41"/>
  <c r="O151" i="41" s="1"/>
  <c r="J150" i="41"/>
  <c r="I150" i="41"/>
  <c r="P149" i="41"/>
  <c r="K149" i="41"/>
  <c r="O149" i="41" s="1"/>
  <c r="P148" i="41"/>
  <c r="K148" i="41"/>
  <c r="O148" i="41" s="1"/>
  <c r="J147" i="41"/>
  <c r="P147" i="41" s="1"/>
  <c r="I147" i="41"/>
  <c r="P146" i="41"/>
  <c r="L146" i="41"/>
  <c r="K146" i="41"/>
  <c r="O146" i="41" s="1"/>
  <c r="L145" i="41"/>
  <c r="J145" i="41"/>
  <c r="P145" i="41" s="1"/>
  <c r="I145" i="41"/>
  <c r="P144" i="41"/>
  <c r="K144" i="41"/>
  <c r="O144" i="41" s="1"/>
  <c r="J143" i="41"/>
  <c r="I143" i="41"/>
  <c r="P142" i="41"/>
  <c r="K142" i="41"/>
  <c r="O142" i="41" s="1"/>
  <c r="P141" i="41"/>
  <c r="K141" i="41"/>
  <c r="O141" i="41" s="1"/>
  <c r="N140" i="41"/>
  <c r="M140" i="41"/>
  <c r="L140" i="41"/>
  <c r="K140" i="41"/>
  <c r="J140" i="41"/>
  <c r="I140" i="41"/>
  <c r="O140" i="41" s="1"/>
  <c r="P139" i="41"/>
  <c r="O139" i="41"/>
  <c r="K139" i="41"/>
  <c r="K138" i="41"/>
  <c r="J138" i="41"/>
  <c r="I138" i="41"/>
  <c r="O138" i="41" s="1"/>
  <c r="P137" i="41"/>
  <c r="O137" i="41"/>
  <c r="K137" i="41"/>
  <c r="K136" i="41"/>
  <c r="J136" i="41"/>
  <c r="I136" i="41"/>
  <c r="O136" i="41" s="1"/>
  <c r="P135" i="41"/>
  <c r="O135" i="41"/>
  <c r="K135" i="41"/>
  <c r="P134" i="41"/>
  <c r="K134" i="41"/>
  <c r="O134" i="41" s="1"/>
  <c r="J133" i="41"/>
  <c r="P133" i="41" s="1"/>
  <c r="I133" i="41"/>
  <c r="P132" i="41"/>
  <c r="K132" i="41"/>
  <c r="O132" i="41" s="1"/>
  <c r="K131" i="41"/>
  <c r="O131" i="41" s="1"/>
  <c r="K130" i="41"/>
  <c r="O130" i="41" s="1"/>
  <c r="K129" i="41"/>
  <c r="O129" i="41" s="1"/>
  <c r="I129" i="41"/>
  <c r="P128" i="41"/>
  <c r="K128" i="41"/>
  <c r="O128" i="41" s="1"/>
  <c r="I127" i="41"/>
  <c r="P127" i="41" s="1"/>
  <c r="N126" i="41"/>
  <c r="M126" i="41"/>
  <c r="L126" i="41"/>
  <c r="J126" i="41"/>
  <c r="P125" i="41"/>
  <c r="K125" i="41"/>
  <c r="O125" i="41" s="1"/>
  <c r="O124" i="41" s="1"/>
  <c r="P124" i="41"/>
  <c r="K124" i="41"/>
  <c r="K123" i="41" s="1"/>
  <c r="J123" i="41"/>
  <c r="I123" i="41"/>
  <c r="P123" i="41" s="1"/>
  <c r="P122" i="41"/>
  <c r="O122" i="41"/>
  <c r="O121" i="41" s="1"/>
  <c r="K122" i="41"/>
  <c r="P121" i="41"/>
  <c r="K121" i="41"/>
  <c r="K120" i="41" s="1"/>
  <c r="J120" i="41"/>
  <c r="P120" i="41" s="1"/>
  <c r="I120" i="41"/>
  <c r="P119" i="41"/>
  <c r="K119" i="41"/>
  <c r="O119" i="41" s="1"/>
  <c r="O118" i="41" s="1"/>
  <c r="P118" i="41"/>
  <c r="J117" i="41"/>
  <c r="I117" i="41"/>
  <c r="P116" i="41"/>
  <c r="L116" i="41"/>
  <c r="K116" i="41"/>
  <c r="O116" i="41" s="1"/>
  <c r="L115" i="41"/>
  <c r="K115" i="41"/>
  <c r="J115" i="41"/>
  <c r="P115" i="41" s="1"/>
  <c r="I115" i="41"/>
  <c r="P114" i="41"/>
  <c r="L114" i="41"/>
  <c r="K114" i="41"/>
  <c r="O114" i="41" s="1"/>
  <c r="L113" i="41"/>
  <c r="L112" i="41" s="1"/>
  <c r="L111" i="41" s="1"/>
  <c r="J113" i="41"/>
  <c r="P113" i="41" s="1"/>
  <c r="I113" i="41"/>
  <c r="N111" i="41"/>
  <c r="M111" i="41"/>
  <c r="P109" i="41"/>
  <c r="L109" i="41"/>
  <c r="L107" i="41" s="1"/>
  <c r="L68" i="41" s="1"/>
  <c r="L61" i="41" s="1"/>
  <c r="K109" i="41"/>
  <c r="O109" i="41" s="1"/>
  <c r="P108" i="41"/>
  <c r="K108" i="41"/>
  <c r="O108" i="41" s="1"/>
  <c r="K107" i="41"/>
  <c r="J107" i="41"/>
  <c r="I107" i="41"/>
  <c r="O107" i="41" s="1"/>
  <c r="P106" i="41"/>
  <c r="L106" i="41"/>
  <c r="K106" i="41"/>
  <c r="O106" i="41" s="1"/>
  <c r="K105" i="41"/>
  <c r="O105" i="41" s="1"/>
  <c r="J104" i="41"/>
  <c r="I104" i="41"/>
  <c r="P103" i="41"/>
  <c r="K103" i="41"/>
  <c r="O103" i="41" s="1"/>
  <c r="P102" i="41"/>
  <c r="K102" i="41"/>
  <c r="O102" i="41" s="1"/>
  <c r="J101" i="41"/>
  <c r="I101" i="41"/>
  <c r="P100" i="41"/>
  <c r="K100" i="41"/>
  <c r="O100" i="41" s="1"/>
  <c r="P99" i="41"/>
  <c r="K99" i="41"/>
  <c r="O99" i="41" s="1"/>
  <c r="J98" i="41"/>
  <c r="P98" i="41" s="1"/>
  <c r="I98" i="41"/>
  <c r="P97" i="41"/>
  <c r="K97" i="41"/>
  <c r="O97" i="41" s="1"/>
  <c r="P96" i="41"/>
  <c r="K96" i="41"/>
  <c r="K95" i="41" s="1"/>
  <c r="J95" i="41"/>
  <c r="P95" i="41" s="1"/>
  <c r="I95" i="41"/>
  <c r="P93" i="41"/>
  <c r="L93" i="41"/>
  <c r="K93" i="41"/>
  <c r="O93" i="41" s="1"/>
  <c r="L92" i="41"/>
  <c r="P92" i="41"/>
  <c r="N91" i="41"/>
  <c r="M91" i="41"/>
  <c r="L91" i="41"/>
  <c r="J91" i="41"/>
  <c r="N90" i="41"/>
  <c r="L90" i="41"/>
  <c r="L89" i="41" s="1"/>
  <c r="L81" i="41" s="1"/>
  <c r="L80" i="41" s="1"/>
  <c r="P90" i="41"/>
  <c r="P89" i="41" s="1"/>
  <c r="N89" i="41"/>
  <c r="I89" i="41"/>
  <c r="M88" i="41"/>
  <c r="M90" i="41" s="1"/>
  <c r="M89" i="41" s="1"/>
  <c r="K88" i="41"/>
  <c r="O88" i="41" s="1"/>
  <c r="P87" i="41"/>
  <c r="O87" i="41"/>
  <c r="K87" i="41"/>
  <c r="J86" i="41"/>
  <c r="K86" i="41" s="1"/>
  <c r="I86" i="41"/>
  <c r="P85" i="41"/>
  <c r="L85" i="41"/>
  <c r="K85" i="41"/>
  <c r="O85" i="41" s="1"/>
  <c r="P84" i="41"/>
  <c r="N84" i="41"/>
  <c r="M84" i="41"/>
  <c r="L84" i="41"/>
  <c r="K84" i="41"/>
  <c r="O84" i="41" s="1"/>
  <c r="N83" i="41"/>
  <c r="M83" i="41"/>
  <c r="L83" i="41"/>
  <c r="P83" i="41"/>
  <c r="N82" i="41"/>
  <c r="N81" i="41" s="1"/>
  <c r="N80" i="41" s="1"/>
  <c r="M82" i="41"/>
  <c r="L82" i="41"/>
  <c r="J82" i="41"/>
  <c r="I82" i="41"/>
  <c r="N77" i="41"/>
  <c r="M77" i="41"/>
  <c r="L77" i="41"/>
  <c r="N76" i="41"/>
  <c r="N75" i="41" s="1"/>
  <c r="M76" i="41"/>
  <c r="L76" i="41"/>
  <c r="L75" i="41" s="1"/>
  <c r="M75" i="41"/>
  <c r="P73" i="41"/>
  <c r="N73" i="41"/>
  <c r="M73" i="41"/>
  <c r="L73" i="41"/>
  <c r="K73" i="41"/>
  <c r="K72" i="41" s="1"/>
  <c r="J72" i="41"/>
  <c r="I72" i="41"/>
  <c r="O72" i="41" s="1"/>
  <c r="P71" i="41"/>
  <c r="O71" i="41"/>
  <c r="N71" i="41"/>
  <c r="M71" i="41"/>
  <c r="L71" i="41"/>
  <c r="P70" i="41"/>
  <c r="N70" i="41"/>
  <c r="M70" i="41"/>
  <c r="L70" i="41"/>
  <c r="K70" i="41"/>
  <c r="O70" i="41" s="1"/>
  <c r="K69" i="41"/>
  <c r="J69" i="41"/>
  <c r="P69" i="41" s="1"/>
  <c r="I69" i="41"/>
  <c r="P68" i="41"/>
  <c r="K68" i="41"/>
  <c r="O68" i="41" s="1"/>
  <c r="M67" i="41"/>
  <c r="K67" i="41"/>
  <c r="O67" i="41" s="1"/>
  <c r="P66" i="41"/>
  <c r="K66" i="41"/>
  <c r="O66" i="41" s="1"/>
  <c r="P65" i="41"/>
  <c r="K65" i="41"/>
  <c r="O65" i="41" s="1"/>
  <c r="P64" i="41"/>
  <c r="N64" i="41"/>
  <c r="M64" i="41"/>
  <c r="L64" i="41"/>
  <c r="K64" i="41"/>
  <c r="P63" i="41"/>
  <c r="K63" i="41"/>
  <c r="O63" i="41" s="1"/>
  <c r="J62" i="41"/>
  <c r="I62" i="41"/>
  <c r="N61" i="41"/>
  <c r="M61" i="41"/>
  <c r="J61" i="41"/>
  <c r="I61" i="41"/>
  <c r="P60" i="41"/>
  <c r="L60" i="41"/>
  <c r="L59" i="41" s="1"/>
  <c r="K60" i="41"/>
  <c r="O60" i="41" s="1"/>
  <c r="N59" i="41"/>
  <c r="M59" i="41"/>
  <c r="J59" i="41"/>
  <c r="P59" i="41" s="1"/>
  <c r="I59" i="41"/>
  <c r="P58" i="41"/>
  <c r="K58" i="41"/>
  <c r="O58" i="41" s="1"/>
  <c r="P57" i="41"/>
  <c r="K57" i="41"/>
  <c r="O57" i="41" s="1"/>
  <c r="J56" i="41"/>
  <c r="I56" i="41"/>
  <c r="P56" i="41" s="1"/>
  <c r="P55" i="41"/>
  <c r="K55" i="41"/>
  <c r="O55" i="41" s="1"/>
  <c r="P54" i="41"/>
  <c r="K54" i="41"/>
  <c r="O54" i="41" s="1"/>
  <c r="J53" i="41"/>
  <c r="I53" i="41"/>
  <c r="P52" i="41"/>
  <c r="K52" i="41"/>
  <c r="O52" i="41" s="1"/>
  <c r="P51" i="41"/>
  <c r="K51" i="41"/>
  <c r="O51" i="41" s="1"/>
  <c r="J50" i="41"/>
  <c r="I50" i="41"/>
  <c r="I49" i="41"/>
  <c r="P49" i="41" s="1"/>
  <c r="P48" i="41" s="1"/>
  <c r="J48" i="41"/>
  <c r="I48" i="41"/>
  <c r="N47" i="41"/>
  <c r="N46" i="41" s="1"/>
  <c r="M47" i="41"/>
  <c r="M48" i="41" s="1"/>
  <c r="L47" i="41"/>
  <c r="L48" i="41" s="1"/>
  <c r="I47" i="41"/>
  <c r="L46" i="41"/>
  <c r="J46" i="41"/>
  <c r="I46" i="41"/>
  <c r="P45" i="41"/>
  <c r="L45" i="41"/>
  <c r="K45" i="41"/>
  <c r="O45" i="41" s="1"/>
  <c r="T44" i="41"/>
  <c r="S44" i="41" s="1"/>
  <c r="P44" i="41"/>
  <c r="O44" i="41"/>
  <c r="K44" i="41"/>
  <c r="P43" i="41"/>
  <c r="K43" i="41"/>
  <c r="O43" i="41" s="1"/>
  <c r="T42" i="41"/>
  <c r="P42" i="41"/>
  <c r="K42" i="41"/>
  <c r="O42" i="41" s="1"/>
  <c r="J41" i="41"/>
  <c r="I41" i="41"/>
  <c r="L40" i="41"/>
  <c r="I40" i="41"/>
  <c r="O40" i="41" s="1"/>
  <c r="P39" i="41"/>
  <c r="I39" i="41"/>
  <c r="K39" i="41" s="1"/>
  <c r="M38" i="41"/>
  <c r="I38" i="41"/>
  <c r="O38" i="41" s="1"/>
  <c r="M37" i="41"/>
  <c r="I37" i="41"/>
  <c r="K37" i="41" s="1"/>
  <c r="P36" i="41"/>
  <c r="O36" i="41"/>
  <c r="K36" i="41"/>
  <c r="O35" i="41"/>
  <c r="K35" i="41"/>
  <c r="P34" i="41"/>
  <c r="N34" i="41"/>
  <c r="N32" i="41" s="1"/>
  <c r="M34" i="41"/>
  <c r="L34" i="41"/>
  <c r="K34" i="41"/>
  <c r="O34" i="41" s="1"/>
  <c r="L33" i="41"/>
  <c r="L32" i="41" s="1"/>
  <c r="I33" i="41"/>
  <c r="K33" i="41" s="1"/>
  <c r="M32" i="41"/>
  <c r="J32" i="41"/>
  <c r="P32" i="41" s="1"/>
  <c r="I32" i="41"/>
  <c r="K31" i="41"/>
  <c r="O31" i="41" s="1"/>
  <c r="P30" i="41"/>
  <c r="M30" i="41"/>
  <c r="K30" i="41"/>
  <c r="O30" i="41" s="1"/>
  <c r="M29" i="41"/>
  <c r="I29" i="41"/>
  <c r="P29" i="41" s="1"/>
  <c r="P28" i="41"/>
  <c r="L28" i="41"/>
  <c r="K28" i="41"/>
  <c r="O28" i="41" s="1"/>
  <c r="L27" i="41"/>
  <c r="I27" i="41"/>
  <c r="K27" i="41" s="1"/>
  <c r="L26" i="41"/>
  <c r="K26" i="41"/>
  <c r="P26" i="41"/>
  <c r="L25" i="41"/>
  <c r="I25" i="41"/>
  <c r="P25" i="41" s="1"/>
  <c r="L24" i="41"/>
  <c r="K24" i="41"/>
  <c r="O24" i="41" s="1"/>
  <c r="L23" i="41"/>
  <c r="K23" i="41"/>
  <c r="O23" i="41" s="1"/>
  <c r="I23" i="41"/>
  <c r="N22" i="41"/>
  <c r="M22" i="41"/>
  <c r="L22" i="41"/>
  <c r="L21" i="41" s="1"/>
  <c r="J22" i="41"/>
  <c r="P21" i="41"/>
  <c r="K21" i="41"/>
  <c r="O21" i="41" s="1"/>
  <c r="J20" i="41"/>
  <c r="K20" i="41"/>
  <c r="K18" i="41" s="1"/>
  <c r="K19" i="41"/>
  <c r="O19" i="41" s="1"/>
  <c r="N18" i="41"/>
  <c r="M18" i="41"/>
  <c r="L18" i="41"/>
  <c r="J18" i="41"/>
  <c r="P17" i="41"/>
  <c r="K17" i="41"/>
  <c r="O17" i="41" s="1"/>
  <c r="P16" i="41"/>
  <c r="K16" i="41"/>
  <c r="O16" i="41" s="1"/>
  <c r="J15" i="41"/>
  <c r="I15" i="41"/>
  <c r="N11" i="41"/>
  <c r="M11" i="41"/>
  <c r="N10" i="41"/>
  <c r="M10" i="41"/>
  <c r="O81" i="42" l="1"/>
  <c r="P110" i="42"/>
  <c r="K13" i="42"/>
  <c r="K12" i="42" s="1"/>
  <c r="K11" i="42" s="1"/>
  <c r="K10" i="42" s="1"/>
  <c r="K9" i="42" s="1"/>
  <c r="K8" i="42" s="1"/>
  <c r="K6" i="42" s="1"/>
  <c r="I11" i="42"/>
  <c r="O80" i="42"/>
  <c r="I79" i="42"/>
  <c r="P80" i="42"/>
  <c r="J12" i="42"/>
  <c r="P13" i="42"/>
  <c r="O110" i="42"/>
  <c r="P40" i="41"/>
  <c r="P41" i="41"/>
  <c r="P46" i="41"/>
  <c r="M46" i="41"/>
  <c r="K49" i="41"/>
  <c r="O49" i="41" s="1"/>
  <c r="P50" i="41"/>
  <c r="P53" i="41"/>
  <c r="P61" i="41"/>
  <c r="O69" i="41"/>
  <c r="P72" i="41"/>
  <c r="M81" i="41"/>
  <c r="M80" i="41" s="1"/>
  <c r="K98" i="41"/>
  <c r="P107" i="41"/>
  <c r="O115" i="41"/>
  <c r="J112" i="41"/>
  <c r="I126" i="41"/>
  <c r="P136" i="41"/>
  <c r="P138" i="41"/>
  <c r="P140" i="41"/>
  <c r="K143" i="41"/>
  <c r="O143" i="41" s="1"/>
  <c r="K147" i="41"/>
  <c r="O147" i="41" s="1"/>
  <c r="P150" i="41"/>
  <c r="P152" i="41"/>
  <c r="K157" i="41"/>
  <c r="O157" i="41" s="1"/>
  <c r="P159" i="41"/>
  <c r="P171" i="41"/>
  <c r="O173" i="41"/>
  <c r="P23" i="41"/>
  <c r="I22" i="41"/>
  <c r="P22" i="41" s="1"/>
  <c r="K25" i="41"/>
  <c r="O25" i="41" s="1"/>
  <c r="P38" i="41"/>
  <c r="M9" i="41"/>
  <c r="M8" i="41" s="1"/>
  <c r="M6" i="41" s="1"/>
  <c r="P126" i="41"/>
  <c r="P157" i="41"/>
  <c r="P181" i="41"/>
  <c r="P184" i="41"/>
  <c r="P188" i="41"/>
  <c r="O181" i="41"/>
  <c r="O182" i="41"/>
  <c r="K161" i="41"/>
  <c r="O161" i="41" s="1"/>
  <c r="K159" i="41"/>
  <c r="O159" i="41" s="1"/>
  <c r="J156" i="41"/>
  <c r="K145" i="41"/>
  <c r="O145" i="41" s="1"/>
  <c r="P117" i="41"/>
  <c r="K113" i="41"/>
  <c r="O113" i="41" s="1"/>
  <c r="K104" i="41"/>
  <c r="O104" i="41" s="1"/>
  <c r="O98" i="41"/>
  <c r="O95" i="41"/>
  <c r="O96" i="41"/>
  <c r="P91" i="41"/>
  <c r="J89" i="41"/>
  <c r="J81" i="41" s="1"/>
  <c r="J80" i="41" s="1"/>
  <c r="O86" i="41"/>
  <c r="K53" i="41"/>
  <c r="O53" i="41" s="1"/>
  <c r="S42" i="41"/>
  <c r="S41" i="41" s="1"/>
  <c r="K32" i="41"/>
  <c r="K22" i="41"/>
  <c r="J14" i="41"/>
  <c r="J13" i="41" s="1"/>
  <c r="J12" i="41" s="1"/>
  <c r="J11" i="41" s="1"/>
  <c r="O15" i="41"/>
  <c r="P15" i="41"/>
  <c r="K15" i="41"/>
  <c r="I81" i="41"/>
  <c r="O26" i="41"/>
  <c r="O22" i="41" s="1"/>
  <c r="P169" i="41"/>
  <c r="I168" i="41"/>
  <c r="I167" i="41" s="1"/>
  <c r="I155" i="41" s="1"/>
  <c r="K117" i="41"/>
  <c r="I112" i="41"/>
  <c r="P112" i="41" s="1"/>
  <c r="P104" i="41"/>
  <c r="I80" i="41"/>
  <c r="P82" i="41"/>
  <c r="P20" i="41"/>
  <c r="P27" i="41"/>
  <c r="P33" i="41"/>
  <c r="P37" i="41"/>
  <c r="N48" i="41"/>
  <c r="N9" i="41" s="1"/>
  <c r="N8" i="41" s="1"/>
  <c r="N6" i="41" s="1"/>
  <c r="P62" i="41"/>
  <c r="O64" i="41"/>
  <c r="O73" i="41"/>
  <c r="P101" i="41"/>
  <c r="P143" i="41"/>
  <c r="P156" i="41"/>
  <c r="P173" i="41"/>
  <c r="K185" i="41"/>
  <c r="K184" i="41" s="1"/>
  <c r="O184" i="41" s="1"/>
  <c r="K188" i="41"/>
  <c r="O188" i="41" s="1"/>
  <c r="O20" i="41"/>
  <c r="O18" i="41" s="1"/>
  <c r="O27" i="41"/>
  <c r="O33" i="41"/>
  <c r="O37" i="41"/>
  <c r="O39" i="41"/>
  <c r="K41" i="41"/>
  <c r="O41" i="41" s="1"/>
  <c r="K56" i="41"/>
  <c r="O56" i="41" s="1"/>
  <c r="I79" i="41"/>
  <c r="K90" i="41"/>
  <c r="K89" i="41" s="1"/>
  <c r="J111" i="41"/>
  <c r="K127" i="41"/>
  <c r="K150" i="41"/>
  <c r="O150" i="41" s="1"/>
  <c r="K152" i="41"/>
  <c r="O152" i="41" s="1"/>
  <c r="O169" i="41"/>
  <c r="K171" i="41"/>
  <c r="O171" i="41" s="1"/>
  <c r="K192" i="41"/>
  <c r="O192" i="41" s="1"/>
  <c r="J201" i="41"/>
  <c r="J203" i="41" s="1"/>
  <c r="L16" i="41"/>
  <c r="I18" i="41"/>
  <c r="I14" i="41" s="1"/>
  <c r="K29" i="41"/>
  <c r="O29" i="41" s="1"/>
  <c r="P47" i="41"/>
  <c r="K59" i="41"/>
  <c r="O59" i="41" s="1"/>
  <c r="K62" i="41"/>
  <c r="K61" i="41" s="1"/>
  <c r="K83" i="41"/>
  <c r="K82" i="41" s="1"/>
  <c r="P86" i="41"/>
  <c r="K92" i="41"/>
  <c r="K101" i="41"/>
  <c r="O101" i="41" s="1"/>
  <c r="P178" i="41"/>
  <c r="P185" i="41"/>
  <c r="K47" i="41"/>
  <c r="K46" i="41" s="1"/>
  <c r="K48" i="41"/>
  <c r="O48" i="41" s="1"/>
  <c r="K50" i="41"/>
  <c r="O50" i="41" s="1"/>
  <c r="K133" i="41"/>
  <c r="O133" i="41" s="1"/>
  <c r="K163" i="41"/>
  <c r="O163" i="41" s="1"/>
  <c r="K55" i="40"/>
  <c r="K54" i="40"/>
  <c r="K161" i="40"/>
  <c r="K162" i="40"/>
  <c r="K100" i="40"/>
  <c r="K99" i="40"/>
  <c r="O13" i="42" l="1"/>
  <c r="O79" i="42"/>
  <c r="P79" i="42"/>
  <c r="I78" i="42"/>
  <c r="I10" i="42"/>
  <c r="J11" i="42"/>
  <c r="P12" i="42"/>
  <c r="O12" i="42"/>
  <c r="O32" i="41"/>
  <c r="O62" i="41"/>
  <c r="J155" i="41"/>
  <c r="K156" i="41"/>
  <c r="O156" i="41" s="1"/>
  <c r="J79" i="41"/>
  <c r="J78" i="41" s="1"/>
  <c r="J77" i="41" s="1"/>
  <c r="P81" i="41"/>
  <c r="K81" i="41"/>
  <c r="O47" i="41"/>
  <c r="O46" i="41" s="1"/>
  <c r="O14" i="41"/>
  <c r="P168" i="41"/>
  <c r="K168" i="41"/>
  <c r="O168" i="41" s="1"/>
  <c r="P167" i="41"/>
  <c r="K167" i="41"/>
  <c r="P155" i="41"/>
  <c r="I111" i="41"/>
  <c r="P111" i="41" s="1"/>
  <c r="K112" i="41"/>
  <c r="O112" i="41" s="1"/>
  <c r="O83" i="41"/>
  <c r="I13" i="41"/>
  <c r="P14" i="41"/>
  <c r="I78" i="41"/>
  <c r="J10" i="41"/>
  <c r="J9" i="41" s="1"/>
  <c r="O81" i="41"/>
  <c r="K14" i="41"/>
  <c r="K13" i="41" s="1"/>
  <c r="K12" i="41" s="1"/>
  <c r="K11" i="41" s="1"/>
  <c r="K10" i="41" s="1"/>
  <c r="K9" i="41" s="1"/>
  <c r="K8" i="41" s="1"/>
  <c r="P18" i="41"/>
  <c r="O185" i="41"/>
  <c r="K91" i="41"/>
  <c r="K80" i="41" s="1"/>
  <c r="O92" i="41"/>
  <c r="O91" i="41" s="1"/>
  <c r="L15" i="41"/>
  <c r="L14" i="41" s="1"/>
  <c r="L13" i="41" s="1"/>
  <c r="L12" i="41" s="1"/>
  <c r="L11" i="41" s="1"/>
  <c r="L10" i="41" s="1"/>
  <c r="L9" i="41" s="1"/>
  <c r="L8" i="41" s="1"/>
  <c r="L6" i="41" s="1"/>
  <c r="O127" i="41"/>
  <c r="K126" i="41"/>
  <c r="O126" i="41" s="1"/>
  <c r="M16" i="41"/>
  <c r="M15" i="41" s="1"/>
  <c r="M14" i="41" s="1"/>
  <c r="M13" i="41" s="1"/>
  <c r="O61" i="41"/>
  <c r="O90" i="41"/>
  <c r="O89" i="41" s="1"/>
  <c r="O82" i="41"/>
  <c r="K62" i="40"/>
  <c r="K63" i="40"/>
  <c r="P11" i="42" l="1"/>
  <c r="J10" i="42"/>
  <c r="J9" i="42" s="1"/>
  <c r="O11" i="42"/>
  <c r="O10" i="42"/>
  <c r="O9" i="42" s="1"/>
  <c r="O8" i="42" s="1"/>
  <c r="I9" i="42"/>
  <c r="I8" i="42" s="1"/>
  <c r="O78" i="42"/>
  <c r="I77" i="42"/>
  <c r="P78" i="42"/>
  <c r="K155" i="41"/>
  <c r="O155" i="41" s="1"/>
  <c r="P78" i="41"/>
  <c r="P79" i="41"/>
  <c r="P80" i="41"/>
  <c r="O167" i="41"/>
  <c r="K79" i="41"/>
  <c r="O80" i="41"/>
  <c r="J8" i="41"/>
  <c r="N16" i="41"/>
  <c r="N15" i="41" s="1"/>
  <c r="N14" i="41" s="1"/>
  <c r="N13" i="41" s="1"/>
  <c r="K111" i="41"/>
  <c r="O111" i="41" s="1"/>
  <c r="I77" i="41"/>
  <c r="I76" i="41" s="1"/>
  <c r="I75" i="41" s="1"/>
  <c r="I12" i="41"/>
  <c r="O13" i="41"/>
  <c r="P13" i="41"/>
  <c r="P77" i="41"/>
  <c r="J76" i="41"/>
  <c r="K24" i="40"/>
  <c r="P9" i="42" l="1"/>
  <c r="P10" i="42" s="1"/>
  <c r="J8" i="42"/>
  <c r="I76" i="42"/>
  <c r="O77" i="42"/>
  <c r="O76" i="42" s="1"/>
  <c r="O75" i="42" s="1"/>
  <c r="P77" i="42"/>
  <c r="P76" i="41"/>
  <c r="J75" i="41"/>
  <c r="K78" i="41"/>
  <c r="O79" i="41"/>
  <c r="O12" i="41"/>
  <c r="I11" i="41"/>
  <c r="P12" i="41"/>
  <c r="J185" i="40"/>
  <c r="K185" i="40" s="1"/>
  <c r="O185" i="40" s="1"/>
  <c r="I127" i="40"/>
  <c r="I129" i="40"/>
  <c r="K129" i="40" s="1"/>
  <c r="O129" i="40" s="1"/>
  <c r="J90" i="40"/>
  <c r="J83" i="40"/>
  <c r="I92" i="40"/>
  <c r="I90" i="40"/>
  <c r="K90" i="40" s="1"/>
  <c r="O90" i="40" s="1"/>
  <c r="O89" i="40" s="1"/>
  <c r="I83" i="40"/>
  <c r="J26" i="40"/>
  <c r="J22" i="40" s="1"/>
  <c r="K21" i="40"/>
  <c r="J20" i="40"/>
  <c r="P20" i="40" s="1"/>
  <c r="I49" i="40"/>
  <c r="I47" i="40"/>
  <c r="I40" i="40"/>
  <c r="I39" i="40"/>
  <c r="I38" i="40"/>
  <c r="I37" i="40"/>
  <c r="P37" i="40" s="1"/>
  <c r="I33" i="40"/>
  <c r="I27" i="40"/>
  <c r="K27" i="40" s="1"/>
  <c r="I26" i="40"/>
  <c r="I25" i="40"/>
  <c r="P25" i="40" s="1"/>
  <c r="I20" i="40"/>
  <c r="I23" i="40"/>
  <c r="K23" i="40" s="1"/>
  <c r="O23" i="40" s="1"/>
  <c r="P194" i="40"/>
  <c r="K194" i="40"/>
  <c r="O194" i="40" s="1"/>
  <c r="P193" i="40"/>
  <c r="K193" i="40"/>
  <c r="O193" i="40" s="1"/>
  <c r="N192" i="40"/>
  <c r="M192" i="40"/>
  <c r="L192" i="40"/>
  <c r="J192" i="40"/>
  <c r="P192" i="40" s="1"/>
  <c r="I192" i="40"/>
  <c r="P189" i="40"/>
  <c r="K189" i="40"/>
  <c r="O189" i="40" s="1"/>
  <c r="N188" i="40"/>
  <c r="M188" i="40"/>
  <c r="L188" i="40"/>
  <c r="J188" i="40"/>
  <c r="I188" i="40"/>
  <c r="K188" i="40" s="1"/>
  <c r="O188" i="40" s="1"/>
  <c r="P186" i="40"/>
  <c r="K186" i="40"/>
  <c r="O186" i="40" s="1"/>
  <c r="P185" i="40"/>
  <c r="J184" i="40"/>
  <c r="P184" i="40" s="1"/>
  <c r="I184" i="40"/>
  <c r="P183" i="40"/>
  <c r="K183" i="40"/>
  <c r="O183" i="40" s="1"/>
  <c r="P182" i="40"/>
  <c r="K182" i="40"/>
  <c r="O182" i="40" s="1"/>
  <c r="J181" i="40"/>
  <c r="I181" i="40"/>
  <c r="P180" i="40"/>
  <c r="K180" i="40"/>
  <c r="O180" i="40" s="1"/>
  <c r="K179" i="40"/>
  <c r="K178" i="40" s="1"/>
  <c r="J178" i="40"/>
  <c r="I178" i="40"/>
  <c r="O178" i="40" s="1"/>
  <c r="P177" i="40"/>
  <c r="K177" i="40"/>
  <c r="O177" i="40" s="1"/>
  <c r="P176" i="40"/>
  <c r="L176" i="40"/>
  <c r="K176" i="40"/>
  <c r="O176" i="40" s="1"/>
  <c r="K175" i="40"/>
  <c r="K174" i="40"/>
  <c r="L173" i="40"/>
  <c r="J173" i="40"/>
  <c r="I173" i="40"/>
  <c r="K173" i="40" s="1"/>
  <c r="P172" i="40"/>
  <c r="L172" i="40"/>
  <c r="K172" i="40"/>
  <c r="O172" i="40" s="1"/>
  <c r="L171" i="40"/>
  <c r="J171" i="40"/>
  <c r="I171" i="40"/>
  <c r="P170" i="40"/>
  <c r="L170" i="40"/>
  <c r="K170" i="40"/>
  <c r="O170" i="40" s="1"/>
  <c r="L169" i="40"/>
  <c r="L168" i="40" s="1"/>
  <c r="L167" i="40" s="1"/>
  <c r="J169" i="40"/>
  <c r="I169" i="40"/>
  <c r="N168" i="40"/>
  <c r="N167" i="40" s="1"/>
  <c r="M168" i="40"/>
  <c r="M167" i="40" s="1"/>
  <c r="M155" i="40" s="1"/>
  <c r="I168" i="40"/>
  <c r="I167" i="40"/>
  <c r="P165" i="40"/>
  <c r="K165" i="40"/>
  <c r="O165" i="40" s="1"/>
  <c r="J163" i="40"/>
  <c r="I163" i="40"/>
  <c r="P162" i="40"/>
  <c r="L162" i="40"/>
  <c r="O162" i="40"/>
  <c r="L161" i="40"/>
  <c r="J161" i="40"/>
  <c r="I161" i="40"/>
  <c r="P160" i="40"/>
  <c r="L160" i="40"/>
  <c r="K160" i="40"/>
  <c r="O160" i="40" s="1"/>
  <c r="L159" i="40"/>
  <c r="J159" i="40"/>
  <c r="I159" i="40"/>
  <c r="K159" i="40" s="1"/>
  <c r="P158" i="40"/>
  <c r="L158" i="40"/>
  <c r="K158" i="40"/>
  <c r="O158" i="40" s="1"/>
  <c r="L157" i="40"/>
  <c r="L156" i="40" s="1"/>
  <c r="L155" i="40" s="1"/>
  <c r="J157" i="40"/>
  <c r="I157" i="40"/>
  <c r="I156" i="40" s="1"/>
  <c r="K156" i="40" s="1"/>
  <c r="O156" i="40" s="1"/>
  <c r="N156" i="40"/>
  <c r="M156" i="40"/>
  <c r="J156" i="40"/>
  <c r="P153" i="40"/>
  <c r="K153" i="40"/>
  <c r="O153" i="40" s="1"/>
  <c r="J152" i="40"/>
  <c r="I152" i="40"/>
  <c r="P151" i="40"/>
  <c r="K151" i="40"/>
  <c r="O151" i="40" s="1"/>
  <c r="J150" i="40"/>
  <c r="I150" i="40"/>
  <c r="P149" i="40"/>
  <c r="K149" i="40"/>
  <c r="P148" i="40"/>
  <c r="K148" i="40"/>
  <c r="O148" i="40" s="1"/>
  <c r="J147" i="40"/>
  <c r="I147" i="40"/>
  <c r="P146" i="40"/>
  <c r="L146" i="40"/>
  <c r="K146" i="40"/>
  <c r="O146" i="40" s="1"/>
  <c r="L145" i="40"/>
  <c r="J145" i="40"/>
  <c r="P145" i="40" s="1"/>
  <c r="I145" i="40"/>
  <c r="P144" i="40"/>
  <c r="K144" i="40"/>
  <c r="O144" i="40" s="1"/>
  <c r="K143" i="40"/>
  <c r="J143" i="40"/>
  <c r="I143" i="40"/>
  <c r="P143" i="40" s="1"/>
  <c r="P142" i="40"/>
  <c r="O142" i="40"/>
  <c r="K142" i="40"/>
  <c r="P141" i="40"/>
  <c r="K141" i="40"/>
  <c r="K140" i="40" s="1"/>
  <c r="N140" i="40"/>
  <c r="M140" i="40"/>
  <c r="L140" i="40"/>
  <c r="J140" i="40"/>
  <c r="I140" i="40"/>
  <c r="P139" i="40"/>
  <c r="K139" i="40"/>
  <c r="O139" i="40" s="1"/>
  <c r="J138" i="40"/>
  <c r="I138" i="40"/>
  <c r="P137" i="40"/>
  <c r="K137" i="40"/>
  <c r="O137" i="40" s="1"/>
  <c r="J136" i="40"/>
  <c r="I136" i="40"/>
  <c r="P135" i="40"/>
  <c r="K135" i="40"/>
  <c r="O135" i="40" s="1"/>
  <c r="P134" i="40"/>
  <c r="K134" i="40"/>
  <c r="O134" i="40" s="1"/>
  <c r="J133" i="40"/>
  <c r="I133" i="40"/>
  <c r="P132" i="40"/>
  <c r="K132" i="40"/>
  <c r="O132" i="40" s="1"/>
  <c r="K131" i="40"/>
  <c r="O131" i="40" s="1"/>
  <c r="K130" i="40"/>
  <c r="O130" i="40" s="1"/>
  <c r="P128" i="40"/>
  <c r="K128" i="40"/>
  <c r="O128" i="40" s="1"/>
  <c r="P127" i="40"/>
  <c r="K127" i="40"/>
  <c r="O127" i="40" s="1"/>
  <c r="N126" i="40"/>
  <c r="M126" i="40"/>
  <c r="M111" i="40" s="1"/>
  <c r="L126" i="40"/>
  <c r="J126" i="40"/>
  <c r="P125" i="40"/>
  <c r="K125" i="40"/>
  <c r="O125" i="40" s="1"/>
  <c r="O124" i="40" s="1"/>
  <c r="P124" i="40"/>
  <c r="K124" i="40"/>
  <c r="J123" i="40"/>
  <c r="P123" i="40" s="1"/>
  <c r="I123" i="40"/>
  <c r="P122" i="40"/>
  <c r="K122" i="40"/>
  <c r="O122" i="40" s="1"/>
  <c r="O121" i="40" s="1"/>
  <c r="P121" i="40"/>
  <c r="K121" i="40"/>
  <c r="J120" i="40"/>
  <c r="I120" i="40"/>
  <c r="P119" i="40"/>
  <c r="K119" i="40"/>
  <c r="O119" i="40" s="1"/>
  <c r="O118" i="40" s="1"/>
  <c r="P118" i="40"/>
  <c r="K118" i="40"/>
  <c r="K117" i="40" s="1"/>
  <c r="J117" i="40"/>
  <c r="I117" i="40"/>
  <c r="P116" i="40"/>
  <c r="L116" i="40"/>
  <c r="K116" i="40"/>
  <c r="O116" i="40" s="1"/>
  <c r="L115" i="40"/>
  <c r="J115" i="40"/>
  <c r="I115" i="40"/>
  <c r="P114" i="40"/>
  <c r="L114" i="40"/>
  <c r="K114" i="40"/>
  <c r="O114" i="40" s="1"/>
  <c r="L113" i="40"/>
  <c r="L112" i="40" s="1"/>
  <c r="L111" i="40" s="1"/>
  <c r="J113" i="40"/>
  <c r="I113" i="40"/>
  <c r="I112" i="40" s="1"/>
  <c r="N111" i="40"/>
  <c r="P109" i="40"/>
  <c r="L109" i="40"/>
  <c r="K109" i="40"/>
  <c r="P108" i="40"/>
  <c r="O108" i="40"/>
  <c r="K108" i="40"/>
  <c r="L107" i="40"/>
  <c r="J107" i="40"/>
  <c r="I107" i="40"/>
  <c r="P106" i="40"/>
  <c r="L106" i="40"/>
  <c r="K106" i="40"/>
  <c r="O106" i="40" s="1"/>
  <c r="K105" i="40"/>
  <c r="K104" i="40" s="1"/>
  <c r="J104" i="40"/>
  <c r="I104" i="40"/>
  <c r="P103" i="40"/>
  <c r="O103" i="40"/>
  <c r="K103" i="40"/>
  <c r="P102" i="40"/>
  <c r="K102" i="40"/>
  <c r="O102" i="40" s="1"/>
  <c r="J101" i="40"/>
  <c r="P101" i="40" s="1"/>
  <c r="I101" i="40"/>
  <c r="P100" i="40"/>
  <c r="O100" i="40"/>
  <c r="P99" i="40"/>
  <c r="O99" i="40"/>
  <c r="J98" i="40"/>
  <c r="I98" i="40"/>
  <c r="P97" i="40"/>
  <c r="K97" i="40"/>
  <c r="O97" i="40" s="1"/>
  <c r="P96" i="40"/>
  <c r="K96" i="40"/>
  <c r="J95" i="40"/>
  <c r="I95" i="40"/>
  <c r="P93" i="40"/>
  <c r="L93" i="40"/>
  <c r="K93" i="40"/>
  <c r="O93" i="40" s="1"/>
  <c r="P92" i="40"/>
  <c r="L92" i="40"/>
  <c r="K92" i="40"/>
  <c r="O92" i="40" s="1"/>
  <c r="N91" i="40"/>
  <c r="M91" i="40"/>
  <c r="L91" i="40"/>
  <c r="J91" i="40"/>
  <c r="I91" i="40"/>
  <c r="N90" i="40"/>
  <c r="L90" i="40"/>
  <c r="L89" i="40" s="1"/>
  <c r="N89" i="40"/>
  <c r="I89" i="40"/>
  <c r="M88" i="40"/>
  <c r="M90" i="40" s="1"/>
  <c r="M89" i="40" s="1"/>
  <c r="K88" i="40"/>
  <c r="O88" i="40" s="1"/>
  <c r="P87" i="40"/>
  <c r="O87" i="40"/>
  <c r="K87" i="40"/>
  <c r="J86" i="40"/>
  <c r="K86" i="40" s="1"/>
  <c r="I86" i="40"/>
  <c r="P85" i="40"/>
  <c r="L85" i="40"/>
  <c r="K85" i="40"/>
  <c r="O85" i="40" s="1"/>
  <c r="P84" i="40"/>
  <c r="N84" i="40"/>
  <c r="N82" i="40" s="1"/>
  <c r="N81" i="40" s="1"/>
  <c r="N80" i="40" s="1"/>
  <c r="M84" i="40"/>
  <c r="L84" i="40"/>
  <c r="K84" i="40"/>
  <c r="O84" i="40" s="1"/>
  <c r="P83" i="40"/>
  <c r="N83" i="40"/>
  <c r="M83" i="40"/>
  <c r="M82" i="40" s="1"/>
  <c r="M81" i="40" s="1"/>
  <c r="M80" i="40" s="1"/>
  <c r="L83" i="40"/>
  <c r="K83" i="40"/>
  <c r="O83" i="40" s="1"/>
  <c r="J82" i="40"/>
  <c r="I82" i="40"/>
  <c r="N77" i="40"/>
  <c r="M77" i="40"/>
  <c r="L77" i="40"/>
  <c r="N76" i="40"/>
  <c r="N75" i="40" s="1"/>
  <c r="M76" i="40"/>
  <c r="M75" i="40" s="1"/>
  <c r="L76" i="40"/>
  <c r="P73" i="40"/>
  <c r="N73" i="40"/>
  <c r="M73" i="40"/>
  <c r="L73" i="40"/>
  <c r="K73" i="40"/>
  <c r="O73" i="40" s="1"/>
  <c r="J72" i="40"/>
  <c r="I72" i="40"/>
  <c r="P71" i="40"/>
  <c r="O71" i="40"/>
  <c r="N71" i="40"/>
  <c r="M71" i="40"/>
  <c r="L71" i="40"/>
  <c r="P70" i="40"/>
  <c r="N70" i="40"/>
  <c r="M70" i="40"/>
  <c r="L70" i="40"/>
  <c r="K70" i="40"/>
  <c r="O70" i="40" s="1"/>
  <c r="K69" i="40"/>
  <c r="J69" i="40"/>
  <c r="I69" i="40"/>
  <c r="P68" i="40"/>
  <c r="L68" i="40"/>
  <c r="K68" i="40"/>
  <c r="O68" i="40" s="1"/>
  <c r="M67" i="40"/>
  <c r="M61" i="40" s="1"/>
  <c r="K67" i="40"/>
  <c r="O67" i="40" s="1"/>
  <c r="P66" i="40"/>
  <c r="K66" i="40"/>
  <c r="O66" i="40" s="1"/>
  <c r="P65" i="40"/>
  <c r="K65" i="40"/>
  <c r="O65" i="40" s="1"/>
  <c r="P64" i="40"/>
  <c r="N64" i="40"/>
  <c r="M64" i="40"/>
  <c r="L64" i="40"/>
  <c r="K64" i="40"/>
  <c r="O64" i="40" s="1"/>
  <c r="P63" i="40"/>
  <c r="O63" i="40"/>
  <c r="J62" i="40"/>
  <c r="I62" i="40"/>
  <c r="N61" i="40"/>
  <c r="J61" i="40"/>
  <c r="P60" i="40"/>
  <c r="L60" i="40"/>
  <c r="K60" i="40"/>
  <c r="O60" i="40" s="1"/>
  <c r="N59" i="40"/>
  <c r="M59" i="40"/>
  <c r="L59" i="40"/>
  <c r="J59" i="40"/>
  <c r="I59" i="40"/>
  <c r="P58" i="40"/>
  <c r="K58" i="40"/>
  <c r="O58" i="40" s="1"/>
  <c r="P57" i="40"/>
  <c r="K57" i="40"/>
  <c r="O57" i="40" s="1"/>
  <c r="J56" i="40"/>
  <c r="I56" i="40"/>
  <c r="P55" i="40"/>
  <c r="O55" i="40"/>
  <c r="P54" i="40"/>
  <c r="K53" i="40"/>
  <c r="J53" i="40"/>
  <c r="I53" i="40"/>
  <c r="P52" i="40"/>
  <c r="K52" i="40"/>
  <c r="O52" i="40" s="1"/>
  <c r="P51" i="40"/>
  <c r="K51" i="40"/>
  <c r="O51" i="40" s="1"/>
  <c r="J50" i="40"/>
  <c r="P50" i="40" s="1"/>
  <c r="I50" i="40"/>
  <c r="J48" i="40"/>
  <c r="I48" i="40"/>
  <c r="P47" i="40"/>
  <c r="N47" i="40"/>
  <c r="N48" i="40" s="1"/>
  <c r="N9" i="40" s="1"/>
  <c r="N8" i="40" s="1"/>
  <c r="M47" i="40"/>
  <c r="M48" i="40" s="1"/>
  <c r="L47" i="40"/>
  <c r="L48" i="40" s="1"/>
  <c r="N46" i="40"/>
  <c r="M46" i="40"/>
  <c r="J46" i="40"/>
  <c r="P45" i="40"/>
  <c r="K45" i="40"/>
  <c r="O45" i="40" s="1"/>
  <c r="T44" i="40"/>
  <c r="P44" i="40"/>
  <c r="K44" i="40"/>
  <c r="O44" i="40" s="1"/>
  <c r="P43" i="40"/>
  <c r="K43" i="40"/>
  <c r="O43" i="40" s="1"/>
  <c r="T42" i="40"/>
  <c r="P42" i="40"/>
  <c r="K42" i="40"/>
  <c r="O42" i="40" s="1"/>
  <c r="J41" i="40"/>
  <c r="I41" i="40"/>
  <c r="P40" i="40"/>
  <c r="O40" i="40"/>
  <c r="L40" i="40"/>
  <c r="P39" i="40"/>
  <c r="P38" i="40"/>
  <c r="O38" i="40"/>
  <c r="M38" i="40"/>
  <c r="M37" i="40"/>
  <c r="P36" i="40"/>
  <c r="K36" i="40"/>
  <c r="O36" i="40" s="1"/>
  <c r="O35" i="40"/>
  <c r="K35" i="40"/>
  <c r="P34" i="40"/>
  <c r="N34" i="40"/>
  <c r="N32" i="40" s="1"/>
  <c r="L34" i="40"/>
  <c r="K34" i="40"/>
  <c r="P33" i="40"/>
  <c r="L33" i="40"/>
  <c r="J32" i="40"/>
  <c r="K31" i="40"/>
  <c r="O31" i="40" s="1"/>
  <c r="P30" i="40"/>
  <c r="M30" i="40"/>
  <c r="K30" i="40"/>
  <c r="O30" i="40" s="1"/>
  <c r="M29" i="40"/>
  <c r="I29" i="40"/>
  <c r="P29" i="40" s="1"/>
  <c r="P28" i="40"/>
  <c r="L28" i="40"/>
  <c r="K28" i="40"/>
  <c r="O28" i="40" s="1"/>
  <c r="L27" i="40"/>
  <c r="L26" i="40"/>
  <c r="L25" i="40"/>
  <c r="L24" i="40"/>
  <c r="O24" i="40"/>
  <c r="P23" i="40"/>
  <c r="L23" i="40"/>
  <c r="N22" i="40"/>
  <c r="M22" i="40"/>
  <c r="P21" i="40"/>
  <c r="O21" i="40"/>
  <c r="K20" i="40"/>
  <c r="O20" i="40" s="1"/>
  <c r="K19" i="40"/>
  <c r="O19" i="40" s="1"/>
  <c r="N18" i="40"/>
  <c r="M18" i="40"/>
  <c r="L18" i="40"/>
  <c r="J18" i="40"/>
  <c r="I18" i="40"/>
  <c r="P17" i="40"/>
  <c r="K17" i="40"/>
  <c r="O17" i="40" s="1"/>
  <c r="P16" i="40"/>
  <c r="K16" i="40"/>
  <c r="J15" i="40"/>
  <c r="I15" i="40"/>
  <c r="V11" i="40"/>
  <c r="T11" i="40"/>
  <c r="N11" i="40"/>
  <c r="M11" i="40"/>
  <c r="N10" i="40"/>
  <c r="M10" i="40"/>
  <c r="I75" i="42" l="1"/>
  <c r="P76" i="42"/>
  <c r="J6" i="42"/>
  <c r="P8" i="42"/>
  <c r="P15" i="40"/>
  <c r="L22" i="40"/>
  <c r="L21" i="40" s="1"/>
  <c r="K56" i="40"/>
  <c r="O69" i="40"/>
  <c r="K72" i="40"/>
  <c r="P156" i="40"/>
  <c r="O39" i="40"/>
  <c r="K39" i="40"/>
  <c r="I46" i="40"/>
  <c r="K47" i="40"/>
  <c r="K46" i="40" s="1"/>
  <c r="L61" i="40"/>
  <c r="O72" i="40"/>
  <c r="L75" i="40"/>
  <c r="P120" i="40"/>
  <c r="P138" i="40"/>
  <c r="P140" i="40"/>
  <c r="P157" i="40"/>
  <c r="N155" i="40"/>
  <c r="N6" i="40" s="1"/>
  <c r="P169" i="40"/>
  <c r="P171" i="40"/>
  <c r="P188" i="40"/>
  <c r="K192" i="40"/>
  <c r="O192" i="40" s="1"/>
  <c r="K33" i="40"/>
  <c r="O33" i="40" s="1"/>
  <c r="K49" i="40"/>
  <c r="O49" i="40" s="1"/>
  <c r="P75" i="41"/>
  <c r="J6" i="41"/>
  <c r="I10" i="41"/>
  <c r="O11" i="41"/>
  <c r="P11" i="41"/>
  <c r="K77" i="41"/>
  <c r="K76" i="41" s="1"/>
  <c r="K75" i="41" s="1"/>
  <c r="O78" i="41"/>
  <c r="O77" i="41" s="1"/>
  <c r="O76" i="41" s="1"/>
  <c r="O16" i="40"/>
  <c r="L16" i="40"/>
  <c r="K15" i="40"/>
  <c r="L32" i="40"/>
  <c r="S44" i="40"/>
  <c r="P56" i="40"/>
  <c r="O56" i="40"/>
  <c r="O62" i="40"/>
  <c r="I61" i="40"/>
  <c r="P61" i="40" s="1"/>
  <c r="K107" i="40"/>
  <c r="O109" i="40"/>
  <c r="M34" i="40"/>
  <c r="M32" i="40" s="1"/>
  <c r="M9" i="40"/>
  <c r="M8" i="40" s="1"/>
  <c r="O96" i="40"/>
  <c r="K95" i="40"/>
  <c r="P46" i="40"/>
  <c r="O147" i="40"/>
  <c r="K147" i="40"/>
  <c r="M6" i="40"/>
  <c r="I32" i="40"/>
  <c r="K37" i="40"/>
  <c r="O37" i="40" s="1"/>
  <c r="P69" i="40"/>
  <c r="P72" i="40"/>
  <c r="L82" i="40"/>
  <c r="L81" i="40" s="1"/>
  <c r="L80" i="40" s="1"/>
  <c r="P91" i="40"/>
  <c r="P107" i="40"/>
  <c r="J112" i="40"/>
  <c r="P115" i="40"/>
  <c r="P117" i="40"/>
  <c r="K123" i="40"/>
  <c r="I126" i="40"/>
  <c r="O140" i="40"/>
  <c r="O141" i="40"/>
  <c r="O143" i="40"/>
  <c r="O145" i="40"/>
  <c r="K145" i="40"/>
  <c r="P147" i="40"/>
  <c r="O149" i="40"/>
  <c r="K150" i="40"/>
  <c r="O150" i="40" s="1"/>
  <c r="K152" i="40"/>
  <c r="O152" i="40" s="1"/>
  <c r="O157" i="40"/>
  <c r="K157" i="40"/>
  <c r="P159" i="40"/>
  <c r="P161" i="40"/>
  <c r="J168" i="40"/>
  <c r="J167" i="40" s="1"/>
  <c r="K169" i="40"/>
  <c r="O171" i="40"/>
  <c r="K171" i="40"/>
  <c r="P173" i="40"/>
  <c r="P178" i="40"/>
  <c r="K184" i="40"/>
  <c r="O184" i="40" s="1"/>
  <c r="O161" i="40"/>
  <c r="P126" i="40"/>
  <c r="K113" i="40"/>
  <c r="K115" i="40"/>
  <c r="O115" i="40" s="1"/>
  <c r="P136" i="40"/>
  <c r="O104" i="40"/>
  <c r="O95" i="40"/>
  <c r="P95" i="40"/>
  <c r="P90" i="40"/>
  <c r="P89" i="40" s="1"/>
  <c r="J89" i="40"/>
  <c r="J81" i="40" s="1"/>
  <c r="J80" i="40" s="1"/>
  <c r="J79" i="40" s="1"/>
  <c r="O91" i="40"/>
  <c r="K91" i="40"/>
  <c r="K89" i="40"/>
  <c r="O86" i="40"/>
  <c r="K82" i="40"/>
  <c r="I81" i="40"/>
  <c r="P82" i="40"/>
  <c r="O54" i="40"/>
  <c r="O53" i="40"/>
  <c r="S42" i="40"/>
  <c r="P41" i="40"/>
  <c r="K32" i="40"/>
  <c r="P32" i="40"/>
  <c r="K26" i="40"/>
  <c r="O26" i="40" s="1"/>
  <c r="J201" i="40"/>
  <c r="J203" i="40" s="1"/>
  <c r="O15" i="40"/>
  <c r="M16" i="40"/>
  <c r="M15" i="40" s="1"/>
  <c r="M14" i="40" s="1"/>
  <c r="M13" i="40" s="1"/>
  <c r="P49" i="40"/>
  <c r="P48" i="40" s="1"/>
  <c r="I22" i="40"/>
  <c r="P22" i="40" s="1"/>
  <c r="O18" i="40"/>
  <c r="P18" i="40"/>
  <c r="K18" i="40"/>
  <c r="I111" i="40"/>
  <c r="I80" i="40"/>
  <c r="P112" i="40"/>
  <c r="J111" i="40"/>
  <c r="J14" i="40"/>
  <c r="S41" i="40"/>
  <c r="O61" i="40"/>
  <c r="O107" i="40"/>
  <c r="P98" i="40"/>
  <c r="P113" i="40"/>
  <c r="P133" i="40"/>
  <c r="O159" i="40"/>
  <c r="P163" i="40"/>
  <c r="O169" i="40"/>
  <c r="O173" i="40"/>
  <c r="P181" i="40"/>
  <c r="P27" i="40"/>
  <c r="O34" i="40"/>
  <c r="P26" i="40"/>
  <c r="O27" i="40"/>
  <c r="K41" i="40"/>
  <c r="O41" i="40" s="1"/>
  <c r="L46" i="40"/>
  <c r="L45" i="40" s="1"/>
  <c r="P59" i="40"/>
  <c r="P62" i="40"/>
  <c r="O113" i="40"/>
  <c r="K120" i="40"/>
  <c r="K112" i="40" s="1"/>
  <c r="K126" i="40"/>
  <c r="O126" i="40" s="1"/>
  <c r="J155" i="40"/>
  <c r="P167" i="40"/>
  <c r="P155" i="40" s="1"/>
  <c r="P168" i="40"/>
  <c r="K25" i="40"/>
  <c r="K29" i="40"/>
  <c r="O29" i="40" s="1"/>
  <c r="K48" i="40"/>
  <c r="O48" i="40" s="1"/>
  <c r="P53" i="40"/>
  <c r="K59" i="40"/>
  <c r="O59" i="40" s="1"/>
  <c r="K61" i="40"/>
  <c r="P86" i="40"/>
  <c r="K98" i="40"/>
  <c r="P104" i="40"/>
  <c r="K133" i="40"/>
  <c r="O133" i="40" s="1"/>
  <c r="P150" i="40"/>
  <c r="P152" i="40"/>
  <c r="I155" i="40"/>
  <c r="K163" i="40"/>
  <c r="O163" i="40" s="1"/>
  <c r="K167" i="40"/>
  <c r="K168" i="40"/>
  <c r="O168" i="40" s="1"/>
  <c r="K181" i="40"/>
  <c r="O181" i="40" s="1"/>
  <c r="L15" i="40"/>
  <c r="L14" i="40" s="1"/>
  <c r="L13" i="40" s="1"/>
  <c r="L12" i="40" s="1"/>
  <c r="L11" i="40" s="1"/>
  <c r="L10" i="40" s="1"/>
  <c r="L9" i="40" s="1"/>
  <c r="L8" i="40" s="1"/>
  <c r="L6" i="40" s="1"/>
  <c r="K50" i="40"/>
  <c r="O50" i="40" s="1"/>
  <c r="K101" i="40"/>
  <c r="O101" i="40" s="1"/>
  <c r="K136" i="40"/>
  <c r="O136" i="40" s="1"/>
  <c r="K138" i="40"/>
  <c r="O138" i="40" s="1"/>
  <c r="T11" i="39"/>
  <c r="K39" i="39"/>
  <c r="K24" i="39"/>
  <c r="K49" i="39"/>
  <c r="T44" i="39"/>
  <c r="T42" i="39"/>
  <c r="V12" i="42" l="1"/>
  <c r="I74" i="42"/>
  <c r="P75" i="42"/>
  <c r="O32" i="40"/>
  <c r="O47" i="40"/>
  <c r="O46" i="40" s="1"/>
  <c r="O10" i="41"/>
  <c r="O9" i="41" s="1"/>
  <c r="O8" i="41" s="1"/>
  <c r="I9" i="41"/>
  <c r="V12" i="41"/>
  <c r="K6" i="41"/>
  <c r="O75" i="41"/>
  <c r="K155" i="40"/>
  <c r="O155" i="40" s="1"/>
  <c r="P111" i="40"/>
  <c r="P81" i="40"/>
  <c r="P80" i="40"/>
  <c r="O82" i="40"/>
  <c r="K81" i="40"/>
  <c r="N16" i="40"/>
  <c r="N15" i="40" s="1"/>
  <c r="N14" i="40" s="1"/>
  <c r="N13" i="40" s="1"/>
  <c r="I14" i="40"/>
  <c r="I13" i="40" s="1"/>
  <c r="I12" i="40" s="1"/>
  <c r="K111" i="40"/>
  <c r="O111" i="40" s="1"/>
  <c r="O112" i="40"/>
  <c r="J78" i="40"/>
  <c r="J13" i="40"/>
  <c r="K22" i="40"/>
  <c r="K14" i="40" s="1"/>
  <c r="K13" i="40" s="1"/>
  <c r="K12" i="40" s="1"/>
  <c r="K11" i="40" s="1"/>
  <c r="K10" i="40" s="1"/>
  <c r="K9" i="40" s="1"/>
  <c r="K8" i="40" s="1"/>
  <c r="O25" i="40"/>
  <c r="O22" i="40" s="1"/>
  <c r="O14" i="40" s="1"/>
  <c r="I79" i="40"/>
  <c r="O167" i="40"/>
  <c r="O98" i="40"/>
  <c r="V11" i="39"/>
  <c r="J69" i="39"/>
  <c r="I69" i="39"/>
  <c r="O74" i="42" l="1"/>
  <c r="O6" i="42" s="1"/>
  <c r="P74" i="42"/>
  <c r="I6" i="42"/>
  <c r="P6" i="42" s="1"/>
  <c r="O6" i="41"/>
  <c r="I8" i="41"/>
  <c r="P9" i="41"/>
  <c r="P10" i="41" s="1"/>
  <c r="K80" i="40"/>
  <c r="O81" i="40"/>
  <c r="P14" i="40"/>
  <c r="I78" i="40"/>
  <c r="P78" i="40" s="1"/>
  <c r="P79" i="40"/>
  <c r="I11" i="40"/>
  <c r="P13" i="40"/>
  <c r="J12" i="40"/>
  <c r="O12" i="40" s="1"/>
  <c r="J77" i="40"/>
  <c r="O13" i="40"/>
  <c r="P70" i="39"/>
  <c r="N70" i="39"/>
  <c r="M70" i="39"/>
  <c r="L70" i="39"/>
  <c r="K70" i="39"/>
  <c r="O70" i="39" s="1"/>
  <c r="I27" i="39"/>
  <c r="P21" i="39"/>
  <c r="P23" i="39"/>
  <c r="P24" i="39"/>
  <c r="P28" i="39"/>
  <c r="P31" i="39"/>
  <c r="P16" i="39"/>
  <c r="P17" i="39"/>
  <c r="P19" i="39"/>
  <c r="P20" i="39"/>
  <c r="K36" i="39"/>
  <c r="J192" i="39"/>
  <c r="I6" i="41" l="1"/>
  <c r="P6" i="41" s="1"/>
  <c r="P8" i="41"/>
  <c r="K79" i="40"/>
  <c r="O80" i="40"/>
  <c r="J11" i="40"/>
  <c r="P12" i="40"/>
  <c r="I77" i="40"/>
  <c r="I76" i="40" s="1"/>
  <c r="I75" i="40" s="1"/>
  <c r="J76" i="40"/>
  <c r="I10" i="40"/>
  <c r="J26" i="39"/>
  <c r="J90" i="39"/>
  <c r="J86" i="39"/>
  <c r="K78" i="40" l="1"/>
  <c r="O79" i="40"/>
  <c r="P77" i="40"/>
  <c r="J75" i="40"/>
  <c r="P75" i="40" s="1"/>
  <c r="P76" i="40"/>
  <c r="J10" i="40"/>
  <c r="O10" i="40" s="1"/>
  <c r="O9" i="40" s="1"/>
  <c r="O8" i="40" s="1"/>
  <c r="P11" i="40"/>
  <c r="I9" i="40"/>
  <c r="I8" i="40" s="1"/>
  <c r="I6" i="40" s="1"/>
  <c r="O11" i="40"/>
  <c r="P194" i="39"/>
  <c r="K194" i="39"/>
  <c r="O194" i="39" s="1"/>
  <c r="P193" i="39"/>
  <c r="K193" i="39"/>
  <c r="O193" i="39" s="1"/>
  <c r="N192" i="39"/>
  <c r="M192" i="39"/>
  <c r="L192" i="39"/>
  <c r="I192" i="39"/>
  <c r="K192" i="39" s="1"/>
  <c r="P189" i="39"/>
  <c r="K189" i="39"/>
  <c r="O189" i="39" s="1"/>
  <c r="N188" i="39"/>
  <c r="M188" i="39"/>
  <c r="L188" i="39"/>
  <c r="J188" i="39"/>
  <c r="I188" i="39"/>
  <c r="P186" i="39"/>
  <c r="K186" i="39"/>
  <c r="O186" i="39" s="1"/>
  <c r="P185" i="39"/>
  <c r="K185" i="39"/>
  <c r="K184" i="39" s="1"/>
  <c r="J184" i="39"/>
  <c r="I184" i="39"/>
  <c r="P183" i="39"/>
  <c r="K183" i="39"/>
  <c r="O183" i="39" s="1"/>
  <c r="P182" i="39"/>
  <c r="K182" i="39"/>
  <c r="O182" i="39" s="1"/>
  <c r="J181" i="39"/>
  <c r="I181" i="39"/>
  <c r="P180" i="39"/>
  <c r="K180" i="39"/>
  <c r="O180" i="39" s="1"/>
  <c r="K179" i="39"/>
  <c r="J178" i="39"/>
  <c r="I178" i="39"/>
  <c r="P177" i="39"/>
  <c r="K177" i="39"/>
  <c r="O177" i="39" s="1"/>
  <c r="P176" i="39"/>
  <c r="L176" i="39"/>
  <c r="L173" i="39" s="1"/>
  <c r="K176" i="39"/>
  <c r="O176" i="39" s="1"/>
  <c r="K175" i="39"/>
  <c r="K174" i="39"/>
  <c r="J173" i="39"/>
  <c r="I173" i="39"/>
  <c r="P172" i="39"/>
  <c r="L172" i="39"/>
  <c r="K172" i="39"/>
  <c r="O172" i="39" s="1"/>
  <c r="L171" i="39"/>
  <c r="J171" i="39"/>
  <c r="I171" i="39"/>
  <c r="P170" i="39"/>
  <c r="L170" i="39"/>
  <c r="K170" i="39"/>
  <c r="O170" i="39" s="1"/>
  <c r="L169" i="39"/>
  <c r="L168" i="39" s="1"/>
  <c r="L167" i="39" s="1"/>
  <c r="J169" i="39"/>
  <c r="I169" i="39"/>
  <c r="I168" i="39" s="1"/>
  <c r="I167" i="39" s="1"/>
  <c r="N168" i="39"/>
  <c r="M168" i="39"/>
  <c r="M167" i="39" s="1"/>
  <c r="M155" i="39" s="1"/>
  <c r="N167" i="39"/>
  <c r="P165" i="39"/>
  <c r="K165" i="39"/>
  <c r="O165" i="39" s="1"/>
  <c r="J163" i="39"/>
  <c r="I163" i="39"/>
  <c r="P162" i="39"/>
  <c r="L162" i="39"/>
  <c r="K162" i="39"/>
  <c r="O162" i="39" s="1"/>
  <c r="L161" i="39"/>
  <c r="J161" i="39"/>
  <c r="I161" i="39"/>
  <c r="P160" i="39"/>
  <c r="L160" i="39"/>
  <c r="K160" i="39"/>
  <c r="O160" i="39" s="1"/>
  <c r="L159" i="39"/>
  <c r="J159" i="39"/>
  <c r="I159" i="39"/>
  <c r="P158" i="39"/>
  <c r="L158" i="39"/>
  <c r="K158" i="39"/>
  <c r="O158" i="39" s="1"/>
  <c r="L157" i="39"/>
  <c r="J157" i="39"/>
  <c r="P157" i="39" s="1"/>
  <c r="I157" i="39"/>
  <c r="N156" i="39"/>
  <c r="N155" i="39" s="1"/>
  <c r="M156" i="39"/>
  <c r="L156" i="39"/>
  <c r="I156" i="39"/>
  <c r="P153" i="39"/>
  <c r="K153" i="39"/>
  <c r="O153" i="39" s="1"/>
  <c r="J152" i="39"/>
  <c r="I152" i="39"/>
  <c r="P151" i="39"/>
  <c r="K151" i="39"/>
  <c r="O151" i="39" s="1"/>
  <c r="J150" i="39"/>
  <c r="I150" i="39"/>
  <c r="P149" i="39"/>
  <c r="K149" i="39"/>
  <c r="O149" i="39" s="1"/>
  <c r="P148" i="39"/>
  <c r="K148" i="39"/>
  <c r="O148" i="39" s="1"/>
  <c r="J147" i="39"/>
  <c r="I147" i="39"/>
  <c r="P146" i="39"/>
  <c r="L146" i="39"/>
  <c r="K146" i="39"/>
  <c r="O146" i="39" s="1"/>
  <c r="L145" i="39"/>
  <c r="J145" i="39"/>
  <c r="I145" i="39"/>
  <c r="P144" i="39"/>
  <c r="K144" i="39"/>
  <c r="O144" i="39" s="1"/>
  <c r="J143" i="39"/>
  <c r="I143" i="39"/>
  <c r="P142" i="39"/>
  <c r="K142" i="39"/>
  <c r="O142" i="39" s="1"/>
  <c r="P141" i="39"/>
  <c r="K141" i="39"/>
  <c r="O141" i="39" s="1"/>
  <c r="N140" i="39"/>
  <c r="M140" i="39"/>
  <c r="L140" i="39"/>
  <c r="K140" i="39"/>
  <c r="J140" i="39"/>
  <c r="I140" i="39"/>
  <c r="P139" i="39"/>
  <c r="K139" i="39"/>
  <c r="O139" i="39" s="1"/>
  <c r="J138" i="39"/>
  <c r="I138" i="39"/>
  <c r="P137" i="39"/>
  <c r="K137" i="39"/>
  <c r="O137" i="39" s="1"/>
  <c r="J136" i="39"/>
  <c r="I136" i="39"/>
  <c r="P135" i="39"/>
  <c r="K135" i="39"/>
  <c r="O135" i="39" s="1"/>
  <c r="P134" i="39"/>
  <c r="K134" i="39"/>
  <c r="O134" i="39" s="1"/>
  <c r="J133" i="39"/>
  <c r="I133" i="39"/>
  <c r="P132" i="39"/>
  <c r="K132" i="39"/>
  <c r="O132" i="39" s="1"/>
  <c r="K131" i="39"/>
  <c r="O131" i="39" s="1"/>
  <c r="K130" i="39"/>
  <c r="O130" i="39" s="1"/>
  <c r="K129" i="39"/>
  <c r="O129" i="39" s="1"/>
  <c r="P128" i="39"/>
  <c r="K128" i="39"/>
  <c r="O128" i="39" s="1"/>
  <c r="P127" i="39"/>
  <c r="K127" i="39"/>
  <c r="O127" i="39" s="1"/>
  <c r="N126" i="39"/>
  <c r="M126" i="39"/>
  <c r="L126" i="39"/>
  <c r="J126" i="39"/>
  <c r="I126" i="39"/>
  <c r="P125" i="39"/>
  <c r="K125" i="39"/>
  <c r="O125" i="39" s="1"/>
  <c r="O124" i="39" s="1"/>
  <c r="P124" i="39"/>
  <c r="K124" i="39"/>
  <c r="K123" i="39" s="1"/>
  <c r="J123" i="39"/>
  <c r="I123" i="39"/>
  <c r="P122" i="39"/>
  <c r="K122" i="39"/>
  <c r="O122" i="39" s="1"/>
  <c r="O121" i="39" s="1"/>
  <c r="P121" i="39"/>
  <c r="K121" i="39"/>
  <c r="K120" i="39" s="1"/>
  <c r="J120" i="39"/>
  <c r="I120" i="39"/>
  <c r="P119" i="39"/>
  <c r="K119" i="39"/>
  <c r="O119" i="39" s="1"/>
  <c r="O118" i="39" s="1"/>
  <c r="P118" i="39"/>
  <c r="K118" i="39"/>
  <c r="K117" i="39" s="1"/>
  <c r="J117" i="39"/>
  <c r="I117" i="39"/>
  <c r="P116" i="39"/>
  <c r="L116" i="39"/>
  <c r="K116" i="39"/>
  <c r="O116" i="39" s="1"/>
  <c r="L115" i="39"/>
  <c r="J115" i="39"/>
  <c r="I115" i="39"/>
  <c r="P114" i="39"/>
  <c r="L114" i="39"/>
  <c r="K114" i="39"/>
  <c r="O114" i="39" s="1"/>
  <c r="L113" i="39"/>
  <c r="K113" i="39"/>
  <c r="J113" i="39"/>
  <c r="I113" i="39"/>
  <c r="L112" i="39"/>
  <c r="I112" i="39"/>
  <c r="N111" i="39"/>
  <c r="M111" i="39"/>
  <c r="L111" i="39"/>
  <c r="I111" i="39"/>
  <c r="P109" i="39"/>
  <c r="L109" i="39"/>
  <c r="K109" i="39"/>
  <c r="P108" i="39"/>
  <c r="K108" i="39"/>
  <c r="O108" i="39" s="1"/>
  <c r="L107" i="39"/>
  <c r="J107" i="39"/>
  <c r="I107" i="39"/>
  <c r="P106" i="39"/>
  <c r="L106" i="39"/>
  <c r="K106" i="39"/>
  <c r="O106" i="39" s="1"/>
  <c r="K105" i="39"/>
  <c r="J104" i="39"/>
  <c r="I104" i="39"/>
  <c r="P103" i="39"/>
  <c r="K103" i="39"/>
  <c r="O103" i="39" s="1"/>
  <c r="P102" i="39"/>
  <c r="K102" i="39"/>
  <c r="O102" i="39" s="1"/>
  <c r="J101" i="39"/>
  <c r="I101" i="39"/>
  <c r="P100" i="39"/>
  <c r="K100" i="39"/>
  <c r="O100" i="39" s="1"/>
  <c r="P99" i="39"/>
  <c r="K99" i="39"/>
  <c r="O99" i="39" s="1"/>
  <c r="J98" i="39"/>
  <c r="I98" i="39"/>
  <c r="P97" i="39"/>
  <c r="K97" i="39"/>
  <c r="O97" i="39" s="1"/>
  <c r="P96" i="39"/>
  <c r="K96" i="39"/>
  <c r="O96" i="39" s="1"/>
  <c r="J95" i="39"/>
  <c r="I95" i="39"/>
  <c r="P93" i="39"/>
  <c r="L93" i="39"/>
  <c r="L91" i="39" s="1"/>
  <c r="K93" i="39"/>
  <c r="O93" i="39" s="1"/>
  <c r="P92" i="39"/>
  <c r="P91" i="39" s="1"/>
  <c r="L92" i="39"/>
  <c r="K92" i="39"/>
  <c r="O92" i="39" s="1"/>
  <c r="N91" i="39"/>
  <c r="M91" i="39"/>
  <c r="J91" i="39"/>
  <c r="I91" i="39"/>
  <c r="N90" i="39"/>
  <c r="L90" i="39"/>
  <c r="J201" i="39"/>
  <c r="J203" i="39" s="1"/>
  <c r="I90" i="39"/>
  <c r="N89" i="39"/>
  <c r="L89" i="39"/>
  <c r="J89" i="39"/>
  <c r="I89" i="39"/>
  <c r="M88" i="39"/>
  <c r="M90" i="39" s="1"/>
  <c r="M89" i="39" s="1"/>
  <c r="K88" i="39"/>
  <c r="O88" i="39" s="1"/>
  <c r="P87" i="39"/>
  <c r="K87" i="39"/>
  <c r="O87" i="39" s="1"/>
  <c r="K86" i="39"/>
  <c r="I86" i="39"/>
  <c r="P86" i="39" s="1"/>
  <c r="P85" i="39"/>
  <c r="L85" i="39"/>
  <c r="K85" i="39"/>
  <c r="O85" i="39" s="1"/>
  <c r="P84" i="39"/>
  <c r="N84" i="39"/>
  <c r="M84" i="39"/>
  <c r="L84" i="39"/>
  <c r="L82" i="39" s="1"/>
  <c r="L81" i="39" s="1"/>
  <c r="K84" i="39"/>
  <c r="O84" i="39" s="1"/>
  <c r="P83" i="39"/>
  <c r="N83" i="39"/>
  <c r="M83" i="39"/>
  <c r="M82" i="39" s="1"/>
  <c r="L83" i="39"/>
  <c r="K83" i="39"/>
  <c r="O83" i="39" s="1"/>
  <c r="J82" i="39"/>
  <c r="I82" i="39"/>
  <c r="N77" i="39"/>
  <c r="M77" i="39"/>
  <c r="L77" i="39"/>
  <c r="N76" i="39"/>
  <c r="N75" i="39" s="1"/>
  <c r="M76" i="39"/>
  <c r="L76" i="39"/>
  <c r="L75" i="39" s="1"/>
  <c r="M75" i="39"/>
  <c r="P73" i="39"/>
  <c r="N73" i="39"/>
  <c r="M73" i="39"/>
  <c r="L73" i="39"/>
  <c r="K73" i="39"/>
  <c r="O73" i="39" s="1"/>
  <c r="J72" i="39"/>
  <c r="I72" i="39"/>
  <c r="P71" i="39"/>
  <c r="N71" i="39"/>
  <c r="M71" i="39"/>
  <c r="L71" i="39"/>
  <c r="O71" i="39"/>
  <c r="P68" i="39"/>
  <c r="L68" i="39"/>
  <c r="K68" i="39"/>
  <c r="O68" i="39" s="1"/>
  <c r="M67" i="39"/>
  <c r="K67" i="39"/>
  <c r="O67" i="39" s="1"/>
  <c r="P66" i="39"/>
  <c r="K66" i="39"/>
  <c r="O66" i="39" s="1"/>
  <c r="P65" i="39"/>
  <c r="K65" i="39"/>
  <c r="O65" i="39" s="1"/>
  <c r="P64" i="39"/>
  <c r="N64" i="39"/>
  <c r="N61" i="39" s="1"/>
  <c r="M64" i="39"/>
  <c r="M61" i="39" s="1"/>
  <c r="L64" i="39"/>
  <c r="L61" i="39" s="1"/>
  <c r="K64" i="39"/>
  <c r="O64" i="39" s="1"/>
  <c r="P63" i="39"/>
  <c r="O63" i="39"/>
  <c r="J62" i="39"/>
  <c r="I62" i="39"/>
  <c r="P60" i="39"/>
  <c r="L60" i="39"/>
  <c r="L59" i="39" s="1"/>
  <c r="K60" i="39"/>
  <c r="O60" i="39" s="1"/>
  <c r="N59" i="39"/>
  <c r="M59" i="39"/>
  <c r="J59" i="39"/>
  <c r="I59" i="39"/>
  <c r="P58" i="39"/>
  <c r="K58" i="39"/>
  <c r="O58" i="39" s="1"/>
  <c r="P57" i="39"/>
  <c r="K57" i="39"/>
  <c r="O57" i="39" s="1"/>
  <c r="J56" i="39"/>
  <c r="I56" i="39"/>
  <c r="P55" i="39"/>
  <c r="K55" i="39"/>
  <c r="O55" i="39" s="1"/>
  <c r="P54" i="39"/>
  <c r="K54" i="39"/>
  <c r="O54" i="39" s="1"/>
  <c r="J53" i="39"/>
  <c r="I53" i="39"/>
  <c r="P52" i="39"/>
  <c r="K52" i="39"/>
  <c r="O52" i="39" s="1"/>
  <c r="P51" i="39"/>
  <c r="O51" i="39"/>
  <c r="K51" i="39"/>
  <c r="J50" i="39"/>
  <c r="I50" i="39"/>
  <c r="P49" i="39"/>
  <c r="O49" i="39"/>
  <c r="P48" i="39"/>
  <c r="J48" i="39"/>
  <c r="I48" i="39"/>
  <c r="P47" i="39"/>
  <c r="N47" i="39"/>
  <c r="N48" i="39" s="1"/>
  <c r="M47" i="39"/>
  <c r="M48" i="39" s="1"/>
  <c r="L47" i="39"/>
  <c r="L46" i="39" s="1"/>
  <c r="L45" i="39" s="1"/>
  <c r="O46" i="39"/>
  <c r="N46" i="39"/>
  <c r="M46" i="39"/>
  <c r="J46" i="39"/>
  <c r="P46" i="39" s="1"/>
  <c r="I46" i="39"/>
  <c r="P45" i="39"/>
  <c r="K45" i="39"/>
  <c r="O45" i="39" s="1"/>
  <c r="P44" i="39"/>
  <c r="K44" i="39"/>
  <c r="P43" i="39"/>
  <c r="K43" i="39"/>
  <c r="O43" i="39" s="1"/>
  <c r="P42" i="39"/>
  <c r="K42" i="39"/>
  <c r="J41" i="39"/>
  <c r="I41" i="39"/>
  <c r="P40" i="39"/>
  <c r="L40" i="39"/>
  <c r="O40" i="39"/>
  <c r="P39" i="39"/>
  <c r="O39" i="39"/>
  <c r="P38" i="39"/>
  <c r="M38" i="39"/>
  <c r="O38" i="39"/>
  <c r="P37" i="39"/>
  <c r="M37" i="39"/>
  <c r="K37" i="39"/>
  <c r="O37" i="39" s="1"/>
  <c r="P36" i="39"/>
  <c r="O36" i="39"/>
  <c r="P35" i="39"/>
  <c r="O35" i="39"/>
  <c r="K35" i="39"/>
  <c r="P34" i="39"/>
  <c r="N34" i="39"/>
  <c r="L34" i="39"/>
  <c r="L32" i="39" s="1"/>
  <c r="K34" i="39"/>
  <c r="O34" i="39" s="1"/>
  <c r="P33" i="39"/>
  <c r="L33" i="39"/>
  <c r="O33" i="39"/>
  <c r="N32" i="39"/>
  <c r="J32" i="39"/>
  <c r="I32" i="39"/>
  <c r="K31" i="39"/>
  <c r="O31" i="39" s="1"/>
  <c r="M30" i="39"/>
  <c r="K30" i="39"/>
  <c r="P30" i="39"/>
  <c r="M29" i="39"/>
  <c r="I29" i="39"/>
  <c r="L28" i="39"/>
  <c r="K28" i="39"/>
  <c r="O28" i="39" s="1"/>
  <c r="L27" i="39"/>
  <c r="K27" i="39"/>
  <c r="O27" i="39" s="1"/>
  <c r="P27" i="39"/>
  <c r="L26" i="39"/>
  <c r="J22" i="39"/>
  <c r="I26" i="39"/>
  <c r="P26" i="39" s="1"/>
  <c r="L25" i="39"/>
  <c r="I25" i="39"/>
  <c r="P25" i="39" s="1"/>
  <c r="L24" i="39"/>
  <c r="O24" i="39"/>
  <c r="L23" i="39"/>
  <c r="K23" i="39"/>
  <c r="O23" i="39" s="1"/>
  <c r="N22" i="39"/>
  <c r="M22" i="39"/>
  <c r="K21" i="39"/>
  <c r="O21" i="39" s="1"/>
  <c r="K20" i="39"/>
  <c r="O20" i="39" s="1"/>
  <c r="K19" i="39"/>
  <c r="O19" i="39" s="1"/>
  <c r="N18" i="39"/>
  <c r="M18" i="39"/>
  <c r="L18" i="39"/>
  <c r="J18" i="39"/>
  <c r="I18" i="39"/>
  <c r="K17" i="39"/>
  <c r="O17" i="39" s="1"/>
  <c r="K16" i="39"/>
  <c r="O16" i="39" s="1"/>
  <c r="J15" i="39"/>
  <c r="J14" i="39" s="1"/>
  <c r="J13" i="39" s="1"/>
  <c r="I15" i="39"/>
  <c r="N11" i="39"/>
  <c r="M11" i="39"/>
  <c r="N10" i="39"/>
  <c r="N9" i="39" s="1"/>
  <c r="N8" i="39" s="1"/>
  <c r="N6" i="39" s="1"/>
  <c r="M10" i="39"/>
  <c r="M9" i="39" s="1"/>
  <c r="M8" i="39" s="1"/>
  <c r="M6" i="39" l="1"/>
  <c r="P133" i="39"/>
  <c r="K136" i="39"/>
  <c r="O136" i="39" s="1"/>
  <c r="K138" i="39"/>
  <c r="O138" i="39" s="1"/>
  <c r="K150" i="39"/>
  <c r="O152" i="39"/>
  <c r="K152" i="39"/>
  <c r="O32" i="39"/>
  <c r="O42" i="39"/>
  <c r="S42" i="39"/>
  <c r="O44" i="39"/>
  <c r="S44" i="39"/>
  <c r="L155" i="39"/>
  <c r="P163" i="39"/>
  <c r="P169" i="39"/>
  <c r="P171" i="39"/>
  <c r="P173" i="39"/>
  <c r="K178" i="39"/>
  <c r="P181" i="39"/>
  <c r="P192" i="39"/>
  <c r="K77" i="40"/>
  <c r="K76" i="40" s="1"/>
  <c r="K75" i="40" s="1"/>
  <c r="K6" i="40" s="1"/>
  <c r="O78" i="40"/>
  <c r="O77" i="40" s="1"/>
  <c r="O76" i="40" s="1"/>
  <c r="J9" i="40"/>
  <c r="P32" i="39"/>
  <c r="K69" i="39"/>
  <c r="O15" i="39"/>
  <c r="P18" i="39"/>
  <c r="L22" i="39"/>
  <c r="L21" i="39" s="1"/>
  <c r="K25" i="39"/>
  <c r="P56" i="39"/>
  <c r="P59" i="39"/>
  <c r="K59" i="39"/>
  <c r="P82" i="39"/>
  <c r="I81" i="39"/>
  <c r="I80" i="39" s="1"/>
  <c r="I79" i="39" s="1"/>
  <c r="P101" i="39"/>
  <c r="P115" i="39"/>
  <c r="P117" i="39"/>
  <c r="P143" i="39"/>
  <c r="K143" i="39"/>
  <c r="P147" i="39"/>
  <c r="P150" i="39"/>
  <c r="J156" i="39"/>
  <c r="P156" i="39" s="1"/>
  <c r="K161" i="39"/>
  <c r="L80" i="39"/>
  <c r="P29" i="39"/>
  <c r="O59" i="39"/>
  <c r="K61" i="39"/>
  <c r="M81" i="39"/>
  <c r="M80" i="39" s="1"/>
  <c r="P98" i="39"/>
  <c r="K101" i="39"/>
  <c r="O101" i="39" s="1"/>
  <c r="P104" i="39"/>
  <c r="P107" i="39"/>
  <c r="K107" i="39"/>
  <c r="J112" i="39"/>
  <c r="P120" i="39"/>
  <c r="P123" i="39"/>
  <c r="P136" i="39"/>
  <c r="P138" i="39"/>
  <c r="P140" i="39"/>
  <c r="P145" i="39"/>
  <c r="P152" i="39"/>
  <c r="K157" i="39"/>
  <c r="O157" i="39" s="1"/>
  <c r="P159" i="39"/>
  <c r="O184" i="39"/>
  <c r="P15" i="39"/>
  <c r="K29" i="39"/>
  <c r="O29" i="39" s="1"/>
  <c r="M34" i="39"/>
  <c r="M32" i="39" s="1"/>
  <c r="P41" i="39"/>
  <c r="P53" i="39"/>
  <c r="K56" i="39"/>
  <c r="O56" i="39" s="1"/>
  <c r="I61" i="39"/>
  <c r="P62" i="39"/>
  <c r="J61" i="39"/>
  <c r="P61" i="39" s="1"/>
  <c r="P69" i="39"/>
  <c r="N82" i="39"/>
  <c r="N81" i="39" s="1"/>
  <c r="N80" i="39" s="1"/>
  <c r="O86" i="39"/>
  <c r="J81" i="39"/>
  <c r="P81" i="39" s="1"/>
  <c r="O107" i="39"/>
  <c r="O140" i="39"/>
  <c r="O150" i="39"/>
  <c r="K156" i="39"/>
  <c r="O156" i="39" s="1"/>
  <c r="P161" i="39"/>
  <c r="O178" i="39"/>
  <c r="P184" i="39"/>
  <c r="O185" i="39"/>
  <c r="P188" i="39"/>
  <c r="J168" i="39"/>
  <c r="J167" i="39" s="1"/>
  <c r="P167" i="39" s="1"/>
  <c r="O161" i="39"/>
  <c r="K159" i="39"/>
  <c r="K147" i="39"/>
  <c r="O147" i="39" s="1"/>
  <c r="K115" i="39"/>
  <c r="O113" i="39"/>
  <c r="O115" i="39"/>
  <c r="K104" i="39"/>
  <c r="O104" i="39" s="1"/>
  <c r="P95" i="39"/>
  <c r="K82" i="39"/>
  <c r="O82" i="39" s="1"/>
  <c r="P72" i="39"/>
  <c r="K48" i="39"/>
  <c r="O48" i="39" s="1"/>
  <c r="K41" i="39"/>
  <c r="O41" i="39" s="1"/>
  <c r="O25" i="39"/>
  <c r="O18" i="39"/>
  <c r="L16" i="39"/>
  <c r="M16" i="39" s="1"/>
  <c r="M15" i="39" s="1"/>
  <c r="M14" i="39" s="1"/>
  <c r="M13" i="39" s="1"/>
  <c r="K112" i="39"/>
  <c r="O112" i="39" s="1"/>
  <c r="P112" i="39"/>
  <c r="J111" i="39"/>
  <c r="P111" i="39" s="1"/>
  <c r="O91" i="39"/>
  <c r="L48" i="39"/>
  <c r="L15" i="39"/>
  <c r="L14" i="39" s="1"/>
  <c r="L13" i="39" s="1"/>
  <c r="L12" i="39" s="1"/>
  <c r="L11" i="39" s="1"/>
  <c r="L10" i="39" s="1"/>
  <c r="L9" i="39" s="1"/>
  <c r="L8" i="39" s="1"/>
  <c r="L6" i="39" s="1"/>
  <c r="K18" i="39"/>
  <c r="I22" i="39"/>
  <c r="I14" i="39" s="1"/>
  <c r="I13" i="39" s="1"/>
  <c r="O30" i="39"/>
  <c r="K50" i="39"/>
  <c r="O50" i="39" s="1"/>
  <c r="I78" i="39"/>
  <c r="P90" i="39"/>
  <c r="P89" i="39" s="1"/>
  <c r="P113" i="39"/>
  <c r="P126" i="39"/>
  <c r="O143" i="39"/>
  <c r="O159" i="39"/>
  <c r="K171" i="39"/>
  <c r="O171" i="39" s="1"/>
  <c r="K188" i="39"/>
  <c r="O188" i="39" s="1"/>
  <c r="P50" i="39"/>
  <c r="K15" i="39"/>
  <c r="K26" i="39"/>
  <c r="K22" i="39" s="1"/>
  <c r="K32" i="39"/>
  <c r="K46" i="39"/>
  <c r="K53" i="39"/>
  <c r="O53" i="39" s="1"/>
  <c r="K72" i="39"/>
  <c r="O72" i="39" s="1"/>
  <c r="K90" i="39"/>
  <c r="K89" i="39" s="1"/>
  <c r="K91" i="39"/>
  <c r="K95" i="39"/>
  <c r="O95" i="39" s="1"/>
  <c r="O109" i="39"/>
  <c r="K126" i="39"/>
  <c r="O126" i="39" s="1"/>
  <c r="K145" i="39"/>
  <c r="O145" i="39" s="1"/>
  <c r="P168" i="39"/>
  <c r="P178" i="39"/>
  <c r="O192" i="39"/>
  <c r="K98" i="39"/>
  <c r="O98" i="39" s="1"/>
  <c r="K133" i="39"/>
  <c r="O133" i="39" s="1"/>
  <c r="I155" i="39"/>
  <c r="K163" i="39"/>
  <c r="O163" i="39" s="1"/>
  <c r="K168" i="39"/>
  <c r="O168" i="39" s="1"/>
  <c r="K169" i="39"/>
  <c r="O169" i="39" s="1"/>
  <c r="K173" i="39"/>
  <c r="O173" i="39" s="1"/>
  <c r="K181" i="39"/>
  <c r="O181" i="39" s="1"/>
  <c r="K14" i="39" l="1"/>
  <c r="K13" i="39" s="1"/>
  <c r="O13" i="39"/>
  <c r="S41" i="39"/>
  <c r="J8" i="40"/>
  <c r="J6" i="40" s="1"/>
  <c r="P9" i="40"/>
  <c r="O75" i="40"/>
  <c r="O6" i="40" s="1"/>
  <c r="O69" i="39"/>
  <c r="P155" i="39"/>
  <c r="K81" i="39"/>
  <c r="O81" i="39" s="1"/>
  <c r="P13" i="39"/>
  <c r="P14" i="39"/>
  <c r="O62" i="39"/>
  <c r="O61" i="39" s="1"/>
  <c r="J80" i="39"/>
  <c r="P80" i="39" s="1"/>
  <c r="P22" i="39"/>
  <c r="J155" i="39"/>
  <c r="K167" i="39"/>
  <c r="K155" i="39" s="1"/>
  <c r="J79" i="39"/>
  <c r="J78" i="39" s="1"/>
  <c r="J77" i="39" s="1"/>
  <c r="J76" i="39" s="1"/>
  <c r="J75" i="39" s="1"/>
  <c r="P79" i="39"/>
  <c r="N16" i="39"/>
  <c r="N15" i="39" s="1"/>
  <c r="N14" i="39" s="1"/>
  <c r="N13" i="39" s="1"/>
  <c r="I12" i="39"/>
  <c r="J12" i="39"/>
  <c r="J11" i="39" s="1"/>
  <c r="J10" i="39" s="1"/>
  <c r="J9" i="39" s="1"/>
  <c r="J8" i="39" s="1"/>
  <c r="K80" i="39"/>
  <c r="K12" i="39"/>
  <c r="K11" i="39" s="1"/>
  <c r="K10" i="39" s="1"/>
  <c r="K9" i="39" s="1"/>
  <c r="K111" i="39"/>
  <c r="O111" i="39" s="1"/>
  <c r="O90" i="39"/>
  <c r="O89" i="39" s="1"/>
  <c r="I77" i="39"/>
  <c r="O26" i="39"/>
  <c r="O22" i="39" s="1"/>
  <c r="O14" i="39" s="1"/>
  <c r="J90" i="38"/>
  <c r="M90" i="38"/>
  <c r="N90" i="38"/>
  <c r="I90" i="38"/>
  <c r="P92" i="38"/>
  <c r="L92" i="38"/>
  <c r="K92" i="38"/>
  <c r="O92" i="38" s="1"/>
  <c r="J89" i="38"/>
  <c r="J200" i="38" s="1"/>
  <c r="J26" i="38"/>
  <c r="J32" i="38"/>
  <c r="I191" i="38"/>
  <c r="P192" i="38"/>
  <c r="K192" i="38"/>
  <c r="O192" i="38" s="1"/>
  <c r="K70" i="38"/>
  <c r="K72" i="38"/>
  <c r="K71" i="38"/>
  <c r="P72" i="38"/>
  <c r="O72" i="38"/>
  <c r="N72" i="38"/>
  <c r="M72" i="38"/>
  <c r="L72" i="38"/>
  <c r="J71" i="38"/>
  <c r="I71" i="38"/>
  <c r="I27" i="38"/>
  <c r="P78" i="39" l="1"/>
  <c r="O155" i="39"/>
  <c r="P8" i="40"/>
  <c r="P6" i="40"/>
  <c r="V12" i="40"/>
  <c r="O167" i="39"/>
  <c r="P12" i="39"/>
  <c r="I11" i="39"/>
  <c r="O12" i="39"/>
  <c r="I76" i="39"/>
  <c r="P77" i="39"/>
  <c r="K79" i="39"/>
  <c r="O80" i="39"/>
  <c r="O71" i="38"/>
  <c r="P71" i="38"/>
  <c r="I30" i="38"/>
  <c r="I29" i="38"/>
  <c r="I26" i="38"/>
  <c r="I25" i="38"/>
  <c r="K8" i="39" l="1"/>
  <c r="I75" i="39"/>
  <c r="P76" i="39"/>
  <c r="O11" i="39"/>
  <c r="I10" i="39"/>
  <c r="K78" i="39"/>
  <c r="O79" i="39"/>
  <c r="P11" i="39"/>
  <c r="J6" i="39"/>
  <c r="V12" i="39" s="1"/>
  <c r="P193" i="38"/>
  <c r="K193" i="38"/>
  <c r="O193" i="38" s="1"/>
  <c r="N191" i="38"/>
  <c r="M191" i="38"/>
  <c r="L191" i="38"/>
  <c r="J191" i="38"/>
  <c r="P188" i="38"/>
  <c r="K188" i="38"/>
  <c r="O188" i="38" s="1"/>
  <c r="N187" i="38"/>
  <c r="M187" i="38"/>
  <c r="L187" i="38"/>
  <c r="J187" i="38"/>
  <c r="P187" i="38" s="1"/>
  <c r="I187" i="38"/>
  <c r="P185" i="38"/>
  <c r="K185" i="38"/>
  <c r="O185" i="38" s="1"/>
  <c r="P184" i="38"/>
  <c r="K184" i="38"/>
  <c r="K183" i="38" s="1"/>
  <c r="J183" i="38"/>
  <c r="I183" i="38"/>
  <c r="P182" i="38"/>
  <c r="K182" i="38"/>
  <c r="O182" i="38" s="1"/>
  <c r="P181" i="38"/>
  <c r="K181" i="38"/>
  <c r="O181" i="38" s="1"/>
  <c r="J180" i="38"/>
  <c r="I180" i="38"/>
  <c r="P179" i="38"/>
  <c r="K179" i="38"/>
  <c r="O179" i="38" s="1"/>
  <c r="K178" i="38"/>
  <c r="K177" i="38" s="1"/>
  <c r="J177" i="38"/>
  <c r="I177" i="38"/>
  <c r="P176" i="38"/>
  <c r="K176" i="38"/>
  <c r="O176" i="38" s="1"/>
  <c r="P175" i="38"/>
  <c r="L175" i="38"/>
  <c r="L172" i="38" s="1"/>
  <c r="K175" i="38"/>
  <c r="O175" i="38" s="1"/>
  <c r="K174" i="38"/>
  <c r="K173" i="38"/>
  <c r="J172" i="38"/>
  <c r="I172" i="38"/>
  <c r="P171" i="38"/>
  <c r="L171" i="38"/>
  <c r="K171" i="38"/>
  <c r="O171" i="38" s="1"/>
  <c r="L170" i="38"/>
  <c r="J170" i="38"/>
  <c r="I170" i="38"/>
  <c r="P169" i="38"/>
  <c r="L169" i="38"/>
  <c r="K169" i="38"/>
  <c r="O169" i="38" s="1"/>
  <c r="L168" i="38"/>
  <c r="L167" i="38" s="1"/>
  <c r="L166" i="38" s="1"/>
  <c r="J168" i="38"/>
  <c r="I168" i="38"/>
  <c r="I167" i="38" s="1"/>
  <c r="I166" i="38" s="1"/>
  <c r="N167" i="38"/>
  <c r="M167" i="38"/>
  <c r="M166" i="38" s="1"/>
  <c r="J167" i="38"/>
  <c r="J166" i="38" s="1"/>
  <c r="N166" i="38"/>
  <c r="P164" i="38"/>
  <c r="K164" i="38"/>
  <c r="O164" i="38" s="1"/>
  <c r="J162" i="38"/>
  <c r="I162" i="38"/>
  <c r="P161" i="38"/>
  <c r="L161" i="38"/>
  <c r="K161" i="38"/>
  <c r="O161" i="38" s="1"/>
  <c r="L160" i="38"/>
  <c r="J160" i="38"/>
  <c r="I160" i="38"/>
  <c r="P159" i="38"/>
  <c r="L159" i="38"/>
  <c r="K159" i="38"/>
  <c r="O159" i="38" s="1"/>
  <c r="L158" i="38"/>
  <c r="J158" i="38"/>
  <c r="I158" i="38"/>
  <c r="P157" i="38"/>
  <c r="L157" i="38"/>
  <c r="K157" i="38"/>
  <c r="O157" i="38" s="1"/>
  <c r="L156" i="38"/>
  <c r="J156" i="38"/>
  <c r="J155" i="38" s="1"/>
  <c r="P155" i="38" s="1"/>
  <c r="I156" i="38"/>
  <c r="N155" i="38"/>
  <c r="M155" i="38"/>
  <c r="L155" i="38"/>
  <c r="I155" i="38"/>
  <c r="P152" i="38"/>
  <c r="K152" i="38"/>
  <c r="O152" i="38" s="1"/>
  <c r="J151" i="38"/>
  <c r="I151" i="38"/>
  <c r="P150" i="38"/>
  <c r="K150" i="38"/>
  <c r="O150" i="38" s="1"/>
  <c r="J149" i="38"/>
  <c r="I149" i="38"/>
  <c r="P148" i="38"/>
  <c r="K148" i="38"/>
  <c r="O148" i="38" s="1"/>
  <c r="P147" i="38"/>
  <c r="K147" i="38"/>
  <c r="O147" i="38" s="1"/>
  <c r="J146" i="38"/>
  <c r="I146" i="38"/>
  <c r="P145" i="38"/>
  <c r="L145" i="38"/>
  <c r="K145" i="38"/>
  <c r="O145" i="38" s="1"/>
  <c r="L144" i="38"/>
  <c r="J144" i="38"/>
  <c r="I144" i="38"/>
  <c r="P143" i="38"/>
  <c r="K143" i="38"/>
  <c r="O143" i="38" s="1"/>
  <c r="J142" i="38"/>
  <c r="I142" i="38"/>
  <c r="P141" i="38"/>
  <c r="K141" i="38"/>
  <c r="O141" i="38" s="1"/>
  <c r="P140" i="38"/>
  <c r="K140" i="38"/>
  <c r="O140" i="38" s="1"/>
  <c r="N139" i="38"/>
  <c r="M139" i="38"/>
  <c r="L139" i="38"/>
  <c r="K139" i="38"/>
  <c r="J139" i="38"/>
  <c r="I139" i="38"/>
  <c r="P139" i="38" s="1"/>
  <c r="P138" i="38"/>
  <c r="O138" i="38"/>
  <c r="K138" i="38"/>
  <c r="K137" i="38"/>
  <c r="J137" i="38"/>
  <c r="I137" i="38"/>
  <c r="O137" i="38" s="1"/>
  <c r="P136" i="38"/>
  <c r="O136" i="38"/>
  <c r="K136" i="38"/>
  <c r="K135" i="38"/>
  <c r="J135" i="38"/>
  <c r="I135" i="38"/>
  <c r="O135" i="38" s="1"/>
  <c r="P134" i="38"/>
  <c r="O134" i="38"/>
  <c r="K134" i="38"/>
  <c r="P133" i="38"/>
  <c r="K133" i="38"/>
  <c r="O133" i="38" s="1"/>
  <c r="J132" i="38"/>
  <c r="I132" i="38"/>
  <c r="P131" i="38"/>
  <c r="K131" i="38"/>
  <c r="O131" i="38" s="1"/>
  <c r="K130" i="38"/>
  <c r="O130" i="38" s="1"/>
  <c r="K129" i="38"/>
  <c r="O129" i="38" s="1"/>
  <c r="K128" i="38"/>
  <c r="O128" i="38" s="1"/>
  <c r="P127" i="38"/>
  <c r="O127" i="38"/>
  <c r="K127" i="38"/>
  <c r="P126" i="38"/>
  <c r="K126" i="38"/>
  <c r="O126" i="38" s="1"/>
  <c r="N125" i="38"/>
  <c r="M125" i="38"/>
  <c r="L125" i="38"/>
  <c r="J125" i="38"/>
  <c r="I125" i="38"/>
  <c r="P124" i="38"/>
  <c r="O124" i="38"/>
  <c r="O123" i="38" s="1"/>
  <c r="K124" i="38"/>
  <c r="P123" i="38"/>
  <c r="K123" i="38"/>
  <c r="K122" i="38"/>
  <c r="J122" i="38"/>
  <c r="I122" i="38"/>
  <c r="P122" i="38" s="1"/>
  <c r="P121" i="38"/>
  <c r="O121" i="38"/>
  <c r="O120" i="38" s="1"/>
  <c r="K121" i="38"/>
  <c r="P120" i="38"/>
  <c r="K120" i="38"/>
  <c r="K119" i="38" s="1"/>
  <c r="J119" i="38"/>
  <c r="P119" i="38" s="1"/>
  <c r="I119" i="38"/>
  <c r="P118" i="38"/>
  <c r="K118" i="38"/>
  <c r="O118" i="38" s="1"/>
  <c r="O117" i="38" s="1"/>
  <c r="P117" i="38"/>
  <c r="K117" i="38"/>
  <c r="K116" i="38" s="1"/>
  <c r="J116" i="38"/>
  <c r="I116" i="38"/>
  <c r="P115" i="38"/>
  <c r="L115" i="38"/>
  <c r="K115" i="38"/>
  <c r="O115" i="38" s="1"/>
  <c r="L114" i="38"/>
  <c r="K114" i="38"/>
  <c r="J114" i="38"/>
  <c r="I114" i="38"/>
  <c r="P113" i="38"/>
  <c r="L113" i="38"/>
  <c r="K113" i="38"/>
  <c r="O113" i="38" s="1"/>
  <c r="L112" i="38"/>
  <c r="L111" i="38" s="1"/>
  <c r="K112" i="38"/>
  <c r="J112" i="38"/>
  <c r="I112" i="38"/>
  <c r="N110" i="38"/>
  <c r="M110" i="38"/>
  <c r="P108" i="38"/>
  <c r="L108" i="38"/>
  <c r="L106" i="38" s="1"/>
  <c r="L68" i="38" s="1"/>
  <c r="K108" i="38"/>
  <c r="P107" i="38"/>
  <c r="K107" i="38"/>
  <c r="O107" i="38" s="1"/>
  <c r="J106" i="38"/>
  <c r="I106" i="38"/>
  <c r="P105" i="38"/>
  <c r="L105" i="38"/>
  <c r="K105" i="38"/>
  <c r="O105" i="38" s="1"/>
  <c r="K104" i="38"/>
  <c r="K103" i="38" s="1"/>
  <c r="J103" i="38"/>
  <c r="I103" i="38"/>
  <c r="P102" i="38"/>
  <c r="K102" i="38"/>
  <c r="O102" i="38" s="1"/>
  <c r="P101" i="38"/>
  <c r="O101" i="38"/>
  <c r="K101" i="38"/>
  <c r="K100" i="38"/>
  <c r="J100" i="38"/>
  <c r="I100" i="38"/>
  <c r="O100" i="38" s="1"/>
  <c r="P99" i="38"/>
  <c r="K99" i="38"/>
  <c r="O99" i="38" s="1"/>
  <c r="P98" i="38"/>
  <c r="K98" i="38"/>
  <c r="O98" i="38" s="1"/>
  <c r="J97" i="38"/>
  <c r="I97" i="38"/>
  <c r="P96" i="38"/>
  <c r="K96" i="38"/>
  <c r="O96" i="38" s="1"/>
  <c r="P95" i="38"/>
  <c r="O95" i="38"/>
  <c r="K95" i="38"/>
  <c r="J94" i="38"/>
  <c r="I94" i="38"/>
  <c r="P91" i="38"/>
  <c r="P90" i="38" s="1"/>
  <c r="L91" i="38"/>
  <c r="L90" i="38" s="1"/>
  <c r="K91" i="38"/>
  <c r="N89" i="38"/>
  <c r="L89" i="38"/>
  <c r="J202" i="38"/>
  <c r="I89" i="38"/>
  <c r="N88" i="38"/>
  <c r="L88" i="38"/>
  <c r="J88" i="38"/>
  <c r="I88" i="38"/>
  <c r="M87" i="38"/>
  <c r="M89" i="38" s="1"/>
  <c r="M88" i="38" s="1"/>
  <c r="K87" i="38"/>
  <c r="O87" i="38" s="1"/>
  <c r="P86" i="38"/>
  <c r="K86" i="38"/>
  <c r="O86" i="38" s="1"/>
  <c r="J85" i="38"/>
  <c r="I85" i="38"/>
  <c r="P84" i="38"/>
  <c r="L84" i="38"/>
  <c r="K84" i="38"/>
  <c r="O84" i="38" s="1"/>
  <c r="P83" i="38"/>
  <c r="N83" i="38"/>
  <c r="M83" i="38"/>
  <c r="L83" i="38"/>
  <c r="K83" i="38"/>
  <c r="O83" i="38" s="1"/>
  <c r="P82" i="38"/>
  <c r="N82" i="38"/>
  <c r="M82" i="38"/>
  <c r="L82" i="38"/>
  <c r="K82" i="38"/>
  <c r="O82" i="38" s="1"/>
  <c r="J81" i="38"/>
  <c r="P81" i="38" s="1"/>
  <c r="I81" i="38"/>
  <c r="N76" i="38"/>
  <c r="M76" i="38"/>
  <c r="L76" i="38"/>
  <c r="N75" i="38"/>
  <c r="N74" i="38" s="1"/>
  <c r="M75" i="38"/>
  <c r="L75" i="38"/>
  <c r="L74" i="38" s="1"/>
  <c r="M74" i="38"/>
  <c r="P70" i="38"/>
  <c r="O70" i="38"/>
  <c r="N70" i="38"/>
  <c r="M70" i="38"/>
  <c r="L70" i="38"/>
  <c r="K69" i="38"/>
  <c r="J69" i="38"/>
  <c r="I69" i="38"/>
  <c r="O69" i="38" s="1"/>
  <c r="P68" i="38"/>
  <c r="K68" i="38"/>
  <c r="O68" i="38" s="1"/>
  <c r="M67" i="38"/>
  <c r="K67" i="38"/>
  <c r="O67" i="38" s="1"/>
  <c r="P66" i="38"/>
  <c r="O66" i="38"/>
  <c r="K66" i="38"/>
  <c r="P65" i="38"/>
  <c r="K65" i="38"/>
  <c r="O65" i="38" s="1"/>
  <c r="P64" i="38"/>
  <c r="N64" i="38"/>
  <c r="N61" i="38" s="1"/>
  <c r="M64" i="38"/>
  <c r="M61" i="38" s="1"/>
  <c r="L64" i="38"/>
  <c r="K64" i="38"/>
  <c r="O64" i="38" s="1"/>
  <c r="P63" i="38"/>
  <c r="K63" i="38"/>
  <c r="O63" i="38" s="1"/>
  <c r="J62" i="38"/>
  <c r="J61" i="38" s="1"/>
  <c r="I62" i="38"/>
  <c r="I61" i="38" s="1"/>
  <c r="P60" i="38"/>
  <c r="L60" i="38"/>
  <c r="K60" i="38"/>
  <c r="O60" i="38" s="1"/>
  <c r="N59" i="38"/>
  <c r="M59" i="38"/>
  <c r="L59" i="38"/>
  <c r="K59" i="38"/>
  <c r="J59" i="38"/>
  <c r="I59" i="38"/>
  <c r="P58" i="38"/>
  <c r="K58" i="38"/>
  <c r="O58" i="38" s="1"/>
  <c r="P57" i="38"/>
  <c r="K57" i="38"/>
  <c r="O57" i="38" s="1"/>
  <c r="J56" i="38"/>
  <c r="I56" i="38"/>
  <c r="P55" i="38"/>
  <c r="K55" i="38"/>
  <c r="O55" i="38" s="1"/>
  <c r="P54" i="38"/>
  <c r="K54" i="38"/>
  <c r="O54" i="38" s="1"/>
  <c r="J53" i="38"/>
  <c r="I53" i="38"/>
  <c r="P52" i="38"/>
  <c r="K52" i="38"/>
  <c r="O52" i="38" s="1"/>
  <c r="P51" i="38"/>
  <c r="K51" i="38"/>
  <c r="O51" i="38" s="1"/>
  <c r="J50" i="38"/>
  <c r="I50" i="38"/>
  <c r="P49" i="38"/>
  <c r="P48" i="38" s="1"/>
  <c r="K49" i="38"/>
  <c r="O49" i="38" s="1"/>
  <c r="J48" i="38"/>
  <c r="I48" i="38"/>
  <c r="P47" i="38"/>
  <c r="N47" i="38"/>
  <c r="N48" i="38" s="1"/>
  <c r="M47" i="38"/>
  <c r="M48" i="38" s="1"/>
  <c r="L47" i="38"/>
  <c r="L48" i="38" s="1"/>
  <c r="K47" i="38"/>
  <c r="K46" i="38" s="1"/>
  <c r="N46" i="38"/>
  <c r="M46" i="38"/>
  <c r="J46" i="38"/>
  <c r="I46" i="38"/>
  <c r="P45" i="38"/>
  <c r="K45" i="38"/>
  <c r="O45" i="38" s="1"/>
  <c r="P44" i="38"/>
  <c r="K44" i="38"/>
  <c r="O44" i="38" s="1"/>
  <c r="P43" i="38"/>
  <c r="K43" i="38"/>
  <c r="P42" i="38"/>
  <c r="K42" i="38"/>
  <c r="O42" i="38" s="1"/>
  <c r="J41" i="38"/>
  <c r="I41" i="38"/>
  <c r="P40" i="38"/>
  <c r="L40" i="38"/>
  <c r="L34" i="38" s="1"/>
  <c r="K40" i="38"/>
  <c r="O40" i="38" s="1"/>
  <c r="P39" i="38"/>
  <c r="K39" i="38"/>
  <c r="O39" i="38" s="1"/>
  <c r="P38" i="38"/>
  <c r="M38" i="38"/>
  <c r="K38" i="38"/>
  <c r="O38" i="38" s="1"/>
  <c r="P37" i="38"/>
  <c r="M37" i="38"/>
  <c r="K37" i="38"/>
  <c r="O37" i="38" s="1"/>
  <c r="P36" i="38"/>
  <c r="K36" i="38"/>
  <c r="O36" i="38" s="1"/>
  <c r="P35" i="38"/>
  <c r="K35" i="38"/>
  <c r="O35" i="38" s="1"/>
  <c r="P34" i="38"/>
  <c r="N34" i="38"/>
  <c r="N32" i="38" s="1"/>
  <c r="K34" i="38"/>
  <c r="P33" i="38"/>
  <c r="L33" i="38"/>
  <c r="K33" i="38"/>
  <c r="O33" i="38" s="1"/>
  <c r="I32" i="38"/>
  <c r="P32" i="38" s="1"/>
  <c r="P31" i="38"/>
  <c r="K31" i="38"/>
  <c r="O31" i="38" s="1"/>
  <c r="P30" i="38"/>
  <c r="M30" i="38"/>
  <c r="K30" i="38"/>
  <c r="O30" i="38" s="1"/>
  <c r="P29" i="38"/>
  <c r="M29" i="38"/>
  <c r="K29" i="38"/>
  <c r="O29" i="38" s="1"/>
  <c r="P28" i="38"/>
  <c r="L28" i="38"/>
  <c r="K28" i="38"/>
  <c r="O28" i="38" s="1"/>
  <c r="P27" i="38"/>
  <c r="L27" i="38"/>
  <c r="K27" i="38"/>
  <c r="O27" i="38" s="1"/>
  <c r="L26" i="38"/>
  <c r="K26" i="38"/>
  <c r="P25" i="38"/>
  <c r="L25" i="38"/>
  <c r="K25" i="38"/>
  <c r="O25" i="38" s="1"/>
  <c r="P24" i="38"/>
  <c r="L24" i="38"/>
  <c r="K24" i="38"/>
  <c r="O24" i="38" s="1"/>
  <c r="P23" i="38"/>
  <c r="L23" i="38"/>
  <c r="L22" i="38" s="1"/>
  <c r="L21" i="38" s="1"/>
  <c r="K23" i="38"/>
  <c r="O23" i="38" s="1"/>
  <c r="N22" i="38"/>
  <c r="M22" i="38"/>
  <c r="J22" i="38"/>
  <c r="I22" i="38"/>
  <c r="P21" i="38"/>
  <c r="K21" i="38"/>
  <c r="O21" i="38" s="1"/>
  <c r="P20" i="38"/>
  <c r="K20" i="38"/>
  <c r="O20" i="38" s="1"/>
  <c r="P19" i="38"/>
  <c r="K19" i="38"/>
  <c r="O19" i="38" s="1"/>
  <c r="N18" i="38"/>
  <c r="M18" i="38"/>
  <c r="L18" i="38"/>
  <c r="J18" i="38"/>
  <c r="I18" i="38"/>
  <c r="P17" i="38"/>
  <c r="K17" i="38"/>
  <c r="O17" i="38" s="1"/>
  <c r="P16" i="38"/>
  <c r="K16" i="38"/>
  <c r="L16" i="38" s="1"/>
  <c r="J15" i="38"/>
  <c r="I15" i="38"/>
  <c r="I14" i="38" s="1"/>
  <c r="I13" i="38" s="1"/>
  <c r="I12" i="38" s="1"/>
  <c r="I11" i="38" s="1"/>
  <c r="I10" i="38" s="1"/>
  <c r="I9" i="38" s="1"/>
  <c r="I8" i="38" s="1"/>
  <c r="N11" i="38"/>
  <c r="M11" i="38"/>
  <c r="M10" i="38" s="1"/>
  <c r="N10" i="38"/>
  <c r="O177" i="38" l="1"/>
  <c r="M34" i="38"/>
  <c r="M32" i="38" s="1"/>
  <c r="P46" i="38"/>
  <c r="M81" i="38"/>
  <c r="M80" i="38" s="1"/>
  <c r="M79" i="38" s="1"/>
  <c r="J14" i="38"/>
  <c r="J13" i="38" s="1"/>
  <c r="K158" i="38"/>
  <c r="P160" i="38"/>
  <c r="K172" i="38"/>
  <c r="P59" i="38"/>
  <c r="L81" i="38"/>
  <c r="L80" i="38" s="1"/>
  <c r="N81" i="38"/>
  <c r="N80" i="38" s="1"/>
  <c r="K85" i="38"/>
  <c r="O85" i="38" s="1"/>
  <c r="P106" i="38"/>
  <c r="L61" i="38"/>
  <c r="O112" i="38"/>
  <c r="P114" i="38"/>
  <c r="P144" i="38"/>
  <c r="M154" i="38"/>
  <c r="L154" i="38"/>
  <c r="O10" i="39"/>
  <c r="O9" i="39" s="1"/>
  <c r="O8" i="39" s="1"/>
  <c r="I9" i="39"/>
  <c r="I8" i="39" s="1"/>
  <c r="O59" i="38"/>
  <c r="I80" i="38"/>
  <c r="O91" i="38"/>
  <c r="O90" i="38" s="1"/>
  <c r="K90" i="38"/>
  <c r="O103" i="38"/>
  <c r="O139" i="38"/>
  <c r="N154" i="38"/>
  <c r="P15" i="38"/>
  <c r="P18" i="38"/>
  <c r="L32" i="38"/>
  <c r="P41" i="38"/>
  <c r="P50" i="38"/>
  <c r="P69" i="38"/>
  <c r="P85" i="38"/>
  <c r="P103" i="38"/>
  <c r="K106" i="38"/>
  <c r="O106" i="38" s="1"/>
  <c r="I111" i="38"/>
  <c r="I110" i="38" s="1"/>
  <c r="P112" i="38"/>
  <c r="L110" i="38"/>
  <c r="O114" i="38"/>
  <c r="P116" i="38"/>
  <c r="P125" i="38"/>
  <c r="K142" i="38"/>
  <c r="O142" i="38" s="1"/>
  <c r="K144" i="38"/>
  <c r="P149" i="38"/>
  <c r="P151" i="38"/>
  <c r="P156" i="38"/>
  <c r="K168" i="38"/>
  <c r="P170" i="38"/>
  <c r="O184" i="38"/>
  <c r="K77" i="39"/>
  <c r="K76" i="39" s="1"/>
  <c r="K75" i="39" s="1"/>
  <c r="K6" i="39" s="1"/>
  <c r="O78" i="39"/>
  <c r="O77" i="39" s="1"/>
  <c r="O76" i="39" s="1"/>
  <c r="P75" i="39"/>
  <c r="P10" i="39"/>
  <c r="P9" i="39" s="1"/>
  <c r="O183" i="38"/>
  <c r="K146" i="38"/>
  <c r="O146" i="38" s="1"/>
  <c r="N79" i="38"/>
  <c r="L79" i="38"/>
  <c r="J80" i="38"/>
  <c r="J79" i="38" s="1"/>
  <c r="J78" i="38" s="1"/>
  <c r="J77" i="38" s="1"/>
  <c r="P61" i="38"/>
  <c r="K48" i="38"/>
  <c r="O48" i="38" s="1"/>
  <c r="K32" i="38"/>
  <c r="K22" i="38"/>
  <c r="O18" i="38"/>
  <c r="K18" i="38"/>
  <c r="J12" i="38"/>
  <c r="P191" i="38"/>
  <c r="K62" i="38"/>
  <c r="K61" i="38" s="1"/>
  <c r="O61" i="38" s="1"/>
  <c r="I79" i="38"/>
  <c r="N9" i="38"/>
  <c r="N8" i="38" s="1"/>
  <c r="N6" i="38" s="1"/>
  <c r="O168" i="38"/>
  <c r="L15" i="38"/>
  <c r="L14" i="38" s="1"/>
  <c r="L13" i="38" s="1"/>
  <c r="L12" i="38" s="1"/>
  <c r="L11" i="38" s="1"/>
  <c r="L10" i="38" s="1"/>
  <c r="O26" i="38"/>
  <c r="O22" i="38" s="1"/>
  <c r="M9" i="38"/>
  <c r="M8" i="38" s="1"/>
  <c r="M6" i="38" s="1"/>
  <c r="O158" i="38"/>
  <c r="O172" i="38"/>
  <c r="O34" i="38"/>
  <c r="O32" i="38" s="1"/>
  <c r="P94" i="38"/>
  <c r="P142" i="38"/>
  <c r="O144" i="38"/>
  <c r="P158" i="38"/>
  <c r="P168" i="38"/>
  <c r="P172" i="38"/>
  <c r="P26" i="38"/>
  <c r="P22" i="38" s="1"/>
  <c r="P14" i="38" s="1"/>
  <c r="O47" i="38"/>
  <c r="O46" i="38" s="1"/>
  <c r="P53" i="38"/>
  <c r="L46" i="38"/>
  <c r="L45" i="38" s="1"/>
  <c r="K50" i="38"/>
  <c r="O50" i="38" s="1"/>
  <c r="P56" i="38"/>
  <c r="K81" i="38"/>
  <c r="P89" i="38"/>
  <c r="P88" i="38" s="1"/>
  <c r="P97" i="38"/>
  <c r="P132" i="38"/>
  <c r="K149" i="38"/>
  <c r="O149" i="38" s="1"/>
  <c r="K151" i="38"/>
  <c r="O151" i="38" s="1"/>
  <c r="K155" i="38"/>
  <c r="O155" i="38" s="1"/>
  <c r="K156" i="38"/>
  <c r="O156" i="38" s="1"/>
  <c r="K160" i="38"/>
  <c r="O160" i="38" s="1"/>
  <c r="P162" i="38"/>
  <c r="K170" i="38"/>
  <c r="O170" i="38" s="1"/>
  <c r="P180" i="38"/>
  <c r="K187" i="38"/>
  <c r="O187" i="38" s="1"/>
  <c r="K15" i="38"/>
  <c r="M16" i="38"/>
  <c r="M15" i="38" s="1"/>
  <c r="M14" i="38" s="1"/>
  <c r="M13" i="38" s="1"/>
  <c r="K53" i="38"/>
  <c r="O53" i="38" s="1"/>
  <c r="P62" i="38"/>
  <c r="K89" i="38"/>
  <c r="K88" i="38" s="1"/>
  <c r="K94" i="38"/>
  <c r="O94" i="38" s="1"/>
  <c r="P100" i="38"/>
  <c r="O108" i="38"/>
  <c r="K125" i="38"/>
  <c r="O125" i="38" s="1"/>
  <c r="P135" i="38"/>
  <c r="P137" i="38"/>
  <c r="P146" i="38"/>
  <c r="J154" i="38"/>
  <c r="P166" i="38"/>
  <c r="P154" i="38" s="1"/>
  <c r="P167" i="38"/>
  <c r="P177" i="38"/>
  <c r="P183" i="38"/>
  <c r="K191" i="38"/>
  <c r="O191" i="38" s="1"/>
  <c r="O16" i="38"/>
  <c r="O15" i="38" s="1"/>
  <c r="K41" i="38"/>
  <c r="O41" i="38" s="1"/>
  <c r="K56" i="38"/>
  <c r="O56" i="38" s="1"/>
  <c r="K97" i="38"/>
  <c r="O97" i="38" s="1"/>
  <c r="J111" i="38"/>
  <c r="K132" i="38"/>
  <c r="O132" i="38" s="1"/>
  <c r="I154" i="38"/>
  <c r="K162" i="38"/>
  <c r="O162" i="38" s="1"/>
  <c r="K166" i="38"/>
  <c r="O166" i="38" s="1"/>
  <c r="K167" i="38"/>
  <c r="O167" i="38" s="1"/>
  <c r="K180" i="38"/>
  <c r="O180" i="38" s="1"/>
  <c r="J87" i="37"/>
  <c r="J196" i="37" s="1"/>
  <c r="J198" i="37" s="1"/>
  <c r="J26" i="37"/>
  <c r="P80" i="38" l="1"/>
  <c r="K111" i="38"/>
  <c r="O111" i="38" s="1"/>
  <c r="O75" i="39"/>
  <c r="O6" i="39" s="1"/>
  <c r="K80" i="38"/>
  <c r="K79" i="38" s="1"/>
  <c r="K78" i="38" s="1"/>
  <c r="K77" i="38" s="1"/>
  <c r="K76" i="38" s="1"/>
  <c r="K75" i="38" s="1"/>
  <c r="K74" i="38" s="1"/>
  <c r="K14" i="38"/>
  <c r="K13" i="38" s="1"/>
  <c r="K12" i="38" s="1"/>
  <c r="K11" i="38" s="1"/>
  <c r="K10" i="38" s="1"/>
  <c r="P13" i="38"/>
  <c r="O62" i="38"/>
  <c r="O14" i="38"/>
  <c r="J76" i="38"/>
  <c r="O12" i="38"/>
  <c r="P12" i="38"/>
  <c r="J11" i="38"/>
  <c r="K9" i="38"/>
  <c r="K8" i="38" s="1"/>
  <c r="O89" i="38"/>
  <c r="O88" i="38" s="1"/>
  <c r="O81" i="38"/>
  <c r="O80" i="38"/>
  <c r="K154" i="38"/>
  <c r="O154" i="38" s="1"/>
  <c r="N16" i="38"/>
  <c r="N15" i="38" s="1"/>
  <c r="N14" i="38" s="1"/>
  <c r="N13" i="38" s="1"/>
  <c r="O13" i="38"/>
  <c r="L9" i="38"/>
  <c r="L8" i="38" s="1"/>
  <c r="L6" i="38" s="1"/>
  <c r="O79" i="38"/>
  <c r="P79" i="38"/>
  <c r="I78" i="38"/>
  <c r="K110" i="38"/>
  <c r="P111" i="38"/>
  <c r="J110" i="38"/>
  <c r="P189" i="37"/>
  <c r="O189" i="37"/>
  <c r="K189" i="37"/>
  <c r="N188" i="37"/>
  <c r="M188" i="37"/>
  <c r="L188" i="37"/>
  <c r="J188" i="37"/>
  <c r="I188" i="37"/>
  <c r="P185" i="37"/>
  <c r="O185" i="37"/>
  <c r="K185" i="37"/>
  <c r="N184" i="37"/>
  <c r="M184" i="37"/>
  <c r="L184" i="37"/>
  <c r="J184" i="37"/>
  <c r="I184" i="37"/>
  <c r="P182" i="37"/>
  <c r="K182" i="37"/>
  <c r="O182" i="37" s="1"/>
  <c r="P181" i="37"/>
  <c r="K181" i="37"/>
  <c r="O181" i="37" s="1"/>
  <c r="J180" i="37"/>
  <c r="I180" i="37"/>
  <c r="P179" i="37"/>
  <c r="K179" i="37"/>
  <c r="O179" i="37" s="1"/>
  <c r="P178" i="37"/>
  <c r="K178" i="37"/>
  <c r="K177" i="37" s="1"/>
  <c r="J177" i="37"/>
  <c r="I177" i="37"/>
  <c r="P176" i="37"/>
  <c r="K176" i="37"/>
  <c r="O176" i="37" s="1"/>
  <c r="K175" i="37"/>
  <c r="J174" i="37"/>
  <c r="I174" i="37"/>
  <c r="P173" i="37"/>
  <c r="K173" i="37"/>
  <c r="O173" i="37" s="1"/>
  <c r="P172" i="37"/>
  <c r="L172" i="37"/>
  <c r="K172" i="37"/>
  <c r="O172" i="37" s="1"/>
  <c r="K171" i="37"/>
  <c r="K170" i="37"/>
  <c r="L169" i="37"/>
  <c r="J169" i="37"/>
  <c r="P169" i="37" s="1"/>
  <c r="I169" i="37"/>
  <c r="P168" i="37"/>
  <c r="L168" i="37"/>
  <c r="K168" i="37"/>
  <c r="O168" i="37" s="1"/>
  <c r="L167" i="37"/>
  <c r="J167" i="37"/>
  <c r="I167" i="37"/>
  <c r="P166" i="37"/>
  <c r="L166" i="37"/>
  <c r="K166" i="37"/>
  <c r="O166" i="37" s="1"/>
  <c r="L165" i="37"/>
  <c r="L164" i="37" s="1"/>
  <c r="L163" i="37" s="1"/>
  <c r="J165" i="37"/>
  <c r="I165" i="37"/>
  <c r="N164" i="37"/>
  <c r="N163" i="37" s="1"/>
  <c r="M164" i="37"/>
  <c r="I164" i="37"/>
  <c r="I163" i="37" s="1"/>
  <c r="M163" i="37"/>
  <c r="P161" i="37"/>
  <c r="K161" i="37"/>
  <c r="O161" i="37" s="1"/>
  <c r="J159" i="37"/>
  <c r="P159" i="37" s="1"/>
  <c r="I159" i="37"/>
  <c r="P158" i="37"/>
  <c r="L158" i="37"/>
  <c r="K158" i="37"/>
  <c r="O158" i="37" s="1"/>
  <c r="L157" i="37"/>
  <c r="J157" i="37"/>
  <c r="I157" i="37"/>
  <c r="P156" i="37"/>
  <c r="L156" i="37"/>
  <c r="K156" i="37"/>
  <c r="O156" i="37" s="1"/>
  <c r="L155" i="37"/>
  <c r="J155" i="37"/>
  <c r="P155" i="37" s="1"/>
  <c r="I155" i="37"/>
  <c r="P154" i="37"/>
  <c r="L154" i="37"/>
  <c r="K154" i="37"/>
  <c r="O154" i="37" s="1"/>
  <c r="L153" i="37"/>
  <c r="L152" i="37" s="1"/>
  <c r="J153" i="37"/>
  <c r="I153" i="37"/>
  <c r="N152" i="37"/>
  <c r="N151" i="37" s="1"/>
  <c r="M152" i="37"/>
  <c r="J152" i="37"/>
  <c r="P149" i="37"/>
  <c r="K149" i="37"/>
  <c r="O149" i="37" s="1"/>
  <c r="J148" i="37"/>
  <c r="I148" i="37"/>
  <c r="P147" i="37"/>
  <c r="K147" i="37"/>
  <c r="O147" i="37" s="1"/>
  <c r="J146" i="37"/>
  <c r="I146" i="37"/>
  <c r="P145" i="37"/>
  <c r="K145" i="37"/>
  <c r="O145" i="37" s="1"/>
  <c r="P144" i="37"/>
  <c r="K144" i="37"/>
  <c r="O144" i="37" s="1"/>
  <c r="J143" i="37"/>
  <c r="I143" i="37"/>
  <c r="P142" i="37"/>
  <c r="L142" i="37"/>
  <c r="K142" i="37"/>
  <c r="O142" i="37" s="1"/>
  <c r="L141" i="37"/>
  <c r="J141" i="37"/>
  <c r="I141" i="37"/>
  <c r="P140" i="37"/>
  <c r="K140" i="37"/>
  <c r="O140" i="37" s="1"/>
  <c r="J139" i="37"/>
  <c r="I139" i="37"/>
  <c r="P138" i="37"/>
  <c r="K138" i="37"/>
  <c r="O138" i="37" s="1"/>
  <c r="P137" i="37"/>
  <c r="K137" i="37"/>
  <c r="O137" i="37" s="1"/>
  <c r="N136" i="37"/>
  <c r="M136" i="37"/>
  <c r="L136" i="37"/>
  <c r="J136" i="37"/>
  <c r="I136" i="37"/>
  <c r="P135" i="37"/>
  <c r="K135" i="37"/>
  <c r="O135" i="37" s="1"/>
  <c r="J134" i="37"/>
  <c r="I134" i="37"/>
  <c r="P133" i="37"/>
  <c r="K133" i="37"/>
  <c r="O133" i="37" s="1"/>
  <c r="J132" i="37"/>
  <c r="I132" i="37"/>
  <c r="P131" i="37"/>
  <c r="K131" i="37"/>
  <c r="O131" i="37" s="1"/>
  <c r="P130" i="37"/>
  <c r="K130" i="37"/>
  <c r="O130" i="37" s="1"/>
  <c r="J129" i="37"/>
  <c r="I129" i="37"/>
  <c r="P128" i="37"/>
  <c r="K128" i="37"/>
  <c r="O128" i="37" s="1"/>
  <c r="K127" i="37"/>
  <c r="O127" i="37" s="1"/>
  <c r="K126" i="37"/>
  <c r="O126" i="37" s="1"/>
  <c r="K125" i="37"/>
  <c r="O125" i="37" s="1"/>
  <c r="P124" i="37"/>
  <c r="K124" i="37"/>
  <c r="O124" i="37" s="1"/>
  <c r="P123" i="37"/>
  <c r="K123" i="37"/>
  <c r="O123" i="37" s="1"/>
  <c r="N122" i="37"/>
  <c r="N107" i="37" s="1"/>
  <c r="M122" i="37"/>
  <c r="L122" i="37"/>
  <c r="J122" i="37"/>
  <c r="I122" i="37"/>
  <c r="P121" i="37"/>
  <c r="K121" i="37"/>
  <c r="O121" i="37" s="1"/>
  <c r="O120" i="37" s="1"/>
  <c r="P120" i="37"/>
  <c r="K120" i="37"/>
  <c r="K119" i="37" s="1"/>
  <c r="J119" i="37"/>
  <c r="I119" i="37"/>
  <c r="P118" i="37"/>
  <c r="K118" i="37"/>
  <c r="O118" i="37" s="1"/>
  <c r="O117" i="37" s="1"/>
  <c r="P117" i="37"/>
  <c r="K117" i="37"/>
  <c r="K116" i="37" s="1"/>
  <c r="J116" i="37"/>
  <c r="I116" i="37"/>
  <c r="P115" i="37"/>
  <c r="K115" i="37"/>
  <c r="O115" i="37" s="1"/>
  <c r="O114" i="37" s="1"/>
  <c r="P114" i="37"/>
  <c r="K114" i="37"/>
  <c r="K113" i="37" s="1"/>
  <c r="J113" i="37"/>
  <c r="I113" i="37"/>
  <c r="P112" i="37"/>
  <c r="L112" i="37"/>
  <c r="K112" i="37"/>
  <c r="O112" i="37" s="1"/>
  <c r="L111" i="37"/>
  <c r="K111" i="37"/>
  <c r="J111" i="37"/>
  <c r="I111" i="37"/>
  <c r="P110" i="37"/>
  <c r="L110" i="37"/>
  <c r="K110" i="37"/>
  <c r="O110" i="37" s="1"/>
  <c r="L109" i="37"/>
  <c r="L108" i="37" s="1"/>
  <c r="K109" i="37"/>
  <c r="J109" i="37"/>
  <c r="I109" i="37"/>
  <c r="M107" i="37"/>
  <c r="P105" i="37"/>
  <c r="L105" i="37"/>
  <c r="L103" i="37" s="1"/>
  <c r="K105" i="37"/>
  <c r="O105" i="37" s="1"/>
  <c r="P104" i="37"/>
  <c r="K104" i="37"/>
  <c r="O104" i="37" s="1"/>
  <c r="J103" i="37"/>
  <c r="I103" i="37"/>
  <c r="P102" i="37"/>
  <c r="L102" i="37"/>
  <c r="K102" i="37"/>
  <c r="O102" i="37" s="1"/>
  <c r="K101" i="37"/>
  <c r="J100" i="37"/>
  <c r="I100" i="37"/>
  <c r="P99" i="37"/>
  <c r="K99" i="37"/>
  <c r="O99" i="37" s="1"/>
  <c r="P98" i="37"/>
  <c r="K98" i="37"/>
  <c r="O98" i="37" s="1"/>
  <c r="J97" i="37"/>
  <c r="I97" i="37"/>
  <c r="P96" i="37"/>
  <c r="K96" i="37"/>
  <c r="O96" i="37" s="1"/>
  <c r="P95" i="37"/>
  <c r="K95" i="37"/>
  <c r="O95" i="37" s="1"/>
  <c r="J94" i="37"/>
  <c r="I94" i="37"/>
  <c r="P93" i="37"/>
  <c r="K93" i="37"/>
  <c r="O93" i="37" s="1"/>
  <c r="P92" i="37"/>
  <c r="K92" i="37"/>
  <c r="O92" i="37" s="1"/>
  <c r="J91" i="37"/>
  <c r="I91" i="37"/>
  <c r="P90" i="37"/>
  <c r="L90" i="37"/>
  <c r="L89" i="37" s="1"/>
  <c r="L88" i="37" s="1"/>
  <c r="K90" i="37"/>
  <c r="O90" i="37" s="1"/>
  <c r="P89" i="37"/>
  <c r="K89" i="37"/>
  <c r="O89" i="37" s="1"/>
  <c r="N88" i="37"/>
  <c r="M88" i="37"/>
  <c r="J88" i="37"/>
  <c r="I88" i="37"/>
  <c r="N87" i="37"/>
  <c r="L87" i="37"/>
  <c r="L86" i="37" s="1"/>
  <c r="I87" i="37"/>
  <c r="K87" i="37" s="1"/>
  <c r="N86" i="37"/>
  <c r="J86" i="37"/>
  <c r="I86" i="37"/>
  <c r="M85" i="37"/>
  <c r="M87" i="37" s="1"/>
  <c r="M86" i="37" s="1"/>
  <c r="K85" i="37"/>
  <c r="O85" i="37" s="1"/>
  <c r="P84" i="37"/>
  <c r="K84" i="37"/>
  <c r="O84" i="37" s="1"/>
  <c r="J83" i="37"/>
  <c r="I83" i="37"/>
  <c r="K83" i="37" s="1"/>
  <c r="P82" i="37"/>
  <c r="L82" i="37"/>
  <c r="K82" i="37"/>
  <c r="O82" i="37" s="1"/>
  <c r="P81" i="37"/>
  <c r="N81" i="37"/>
  <c r="M81" i="37"/>
  <c r="L81" i="37"/>
  <c r="K81" i="37"/>
  <c r="O81" i="37" s="1"/>
  <c r="P80" i="37"/>
  <c r="N80" i="37"/>
  <c r="M80" i="37"/>
  <c r="L80" i="37"/>
  <c r="L79" i="37" s="1"/>
  <c r="K80" i="37"/>
  <c r="N79" i="37"/>
  <c r="N78" i="37" s="1"/>
  <c r="N77" i="37" s="1"/>
  <c r="J79" i="37"/>
  <c r="I79" i="37"/>
  <c r="N74" i="37"/>
  <c r="M74" i="37"/>
  <c r="L74" i="37"/>
  <c r="N73" i="37"/>
  <c r="N72" i="37" s="1"/>
  <c r="M73" i="37"/>
  <c r="M72" i="37" s="1"/>
  <c r="L73" i="37"/>
  <c r="P70" i="37"/>
  <c r="O70" i="37"/>
  <c r="N70" i="37"/>
  <c r="M70" i="37"/>
  <c r="L70" i="37"/>
  <c r="K69" i="37"/>
  <c r="J69" i="37"/>
  <c r="I69" i="37"/>
  <c r="P68" i="37"/>
  <c r="K68" i="37"/>
  <c r="O68" i="37" s="1"/>
  <c r="M67" i="37"/>
  <c r="K67" i="37"/>
  <c r="O67" i="37" s="1"/>
  <c r="P66" i="37"/>
  <c r="K66" i="37"/>
  <c r="O66" i="37" s="1"/>
  <c r="P65" i="37"/>
  <c r="K65" i="37"/>
  <c r="O65" i="37" s="1"/>
  <c r="P64" i="37"/>
  <c r="N64" i="37"/>
  <c r="N61" i="37" s="1"/>
  <c r="M64" i="37"/>
  <c r="M61" i="37" s="1"/>
  <c r="L64" i="37"/>
  <c r="K64" i="37"/>
  <c r="P63" i="37"/>
  <c r="K63" i="37"/>
  <c r="O63" i="37" s="1"/>
  <c r="J62" i="37"/>
  <c r="J61" i="37" s="1"/>
  <c r="I62" i="37"/>
  <c r="I61" i="37"/>
  <c r="P60" i="37"/>
  <c r="L60" i="37"/>
  <c r="K60" i="37"/>
  <c r="O60" i="37" s="1"/>
  <c r="N59" i="37"/>
  <c r="M59" i="37"/>
  <c r="L59" i="37"/>
  <c r="J59" i="37"/>
  <c r="I59" i="37"/>
  <c r="P58" i="37"/>
  <c r="K58" i="37"/>
  <c r="O58" i="37" s="1"/>
  <c r="P57" i="37"/>
  <c r="O57" i="37"/>
  <c r="K57" i="37"/>
  <c r="J56" i="37"/>
  <c r="P56" i="37" s="1"/>
  <c r="I56" i="37"/>
  <c r="P55" i="37"/>
  <c r="K55" i="37"/>
  <c r="O55" i="37" s="1"/>
  <c r="P54" i="37"/>
  <c r="K54" i="37"/>
  <c r="O54" i="37" s="1"/>
  <c r="J53" i="37"/>
  <c r="I53" i="37"/>
  <c r="P52" i="37"/>
  <c r="K52" i="37"/>
  <c r="O52" i="37" s="1"/>
  <c r="P51" i="37"/>
  <c r="K51" i="37"/>
  <c r="O51" i="37" s="1"/>
  <c r="J50" i="37"/>
  <c r="I50" i="37"/>
  <c r="P49" i="37"/>
  <c r="P48" i="37" s="1"/>
  <c r="K49" i="37"/>
  <c r="O49" i="37" s="1"/>
  <c r="J48" i="37"/>
  <c r="I48" i="37"/>
  <c r="P47" i="37"/>
  <c r="N47" i="37"/>
  <c r="N48" i="37" s="1"/>
  <c r="M47" i="37"/>
  <c r="M46" i="37" s="1"/>
  <c r="L47" i="37"/>
  <c r="L46" i="37" s="1"/>
  <c r="L45" i="37" s="1"/>
  <c r="K47" i="37"/>
  <c r="O47" i="37" s="1"/>
  <c r="O46" i="37" s="1"/>
  <c r="N46" i="37"/>
  <c r="J46" i="37"/>
  <c r="I46" i="37"/>
  <c r="P45" i="37"/>
  <c r="K45" i="37"/>
  <c r="O45" i="37" s="1"/>
  <c r="P44" i="37"/>
  <c r="O44" i="37"/>
  <c r="K44" i="37"/>
  <c r="P43" i="37"/>
  <c r="K43" i="37"/>
  <c r="P42" i="37"/>
  <c r="K42" i="37"/>
  <c r="O42" i="37" s="1"/>
  <c r="K41" i="37"/>
  <c r="J41" i="37"/>
  <c r="I41" i="37"/>
  <c r="O41" i="37" s="1"/>
  <c r="P40" i="37"/>
  <c r="L40" i="37"/>
  <c r="L34" i="37" s="1"/>
  <c r="K40" i="37"/>
  <c r="O40" i="37" s="1"/>
  <c r="P39" i="37"/>
  <c r="K39" i="37"/>
  <c r="O39" i="37" s="1"/>
  <c r="P38" i="37"/>
  <c r="M38" i="37"/>
  <c r="K38" i="37"/>
  <c r="O38" i="37" s="1"/>
  <c r="P37" i="37"/>
  <c r="M37" i="37"/>
  <c r="K37" i="37"/>
  <c r="O37" i="37" s="1"/>
  <c r="P36" i="37"/>
  <c r="K36" i="37"/>
  <c r="O36" i="37" s="1"/>
  <c r="P35" i="37"/>
  <c r="K35" i="37"/>
  <c r="O35" i="37" s="1"/>
  <c r="P34" i="37"/>
  <c r="N34" i="37"/>
  <c r="N32" i="37" s="1"/>
  <c r="K34" i="37"/>
  <c r="O34" i="37" s="1"/>
  <c r="P33" i="37"/>
  <c r="L33" i="37"/>
  <c r="K33" i="37"/>
  <c r="O33" i="37" s="1"/>
  <c r="J32" i="37"/>
  <c r="P32" i="37" s="1"/>
  <c r="I32" i="37"/>
  <c r="P31" i="37"/>
  <c r="K31" i="37"/>
  <c r="O31" i="37" s="1"/>
  <c r="P30" i="37"/>
  <c r="M30" i="37"/>
  <c r="K30" i="37"/>
  <c r="O30" i="37" s="1"/>
  <c r="P29" i="37"/>
  <c r="M29" i="37"/>
  <c r="K29" i="37"/>
  <c r="O29" i="37" s="1"/>
  <c r="P28" i="37"/>
  <c r="L28" i="37"/>
  <c r="K28" i="37"/>
  <c r="O28" i="37" s="1"/>
  <c r="L27" i="37"/>
  <c r="K27" i="37"/>
  <c r="O27" i="37" s="1"/>
  <c r="L26" i="37"/>
  <c r="I26" i="37"/>
  <c r="K26" i="37" s="1"/>
  <c r="P25" i="37"/>
  <c r="L25" i="37"/>
  <c r="K25" i="37"/>
  <c r="O25" i="37" s="1"/>
  <c r="P24" i="37"/>
  <c r="L24" i="37"/>
  <c r="K24" i="37"/>
  <c r="O24" i="37" s="1"/>
  <c r="P23" i="37"/>
  <c r="L23" i="37"/>
  <c r="K23" i="37"/>
  <c r="O23" i="37" s="1"/>
  <c r="N22" i="37"/>
  <c r="M22" i="37"/>
  <c r="J22" i="37"/>
  <c r="P21" i="37"/>
  <c r="K21" i="37"/>
  <c r="O21" i="37" s="1"/>
  <c r="P20" i="37"/>
  <c r="K20" i="37"/>
  <c r="O20" i="37" s="1"/>
  <c r="P19" i="37"/>
  <c r="K19" i="37"/>
  <c r="O19" i="37" s="1"/>
  <c r="N18" i="37"/>
  <c r="M18" i="37"/>
  <c r="L18" i="37"/>
  <c r="K18" i="37"/>
  <c r="J18" i="37"/>
  <c r="I18" i="37"/>
  <c r="P17" i="37"/>
  <c r="K17" i="37"/>
  <c r="O17" i="37" s="1"/>
  <c r="P16" i="37"/>
  <c r="K16" i="37"/>
  <c r="O16" i="37" s="1"/>
  <c r="J15" i="37"/>
  <c r="I15" i="37"/>
  <c r="N11" i="37"/>
  <c r="M11" i="37"/>
  <c r="N10" i="37"/>
  <c r="M10" i="37"/>
  <c r="P15" i="37" l="1"/>
  <c r="M79" i="37"/>
  <c r="P87" i="37"/>
  <c r="P86" i="37" s="1"/>
  <c r="O103" i="37"/>
  <c r="K103" i="37"/>
  <c r="L32" i="37"/>
  <c r="P111" i="37"/>
  <c r="P113" i="37"/>
  <c r="P119" i="37"/>
  <c r="P146" i="37"/>
  <c r="K15" i="37"/>
  <c r="I22" i="37"/>
  <c r="L22" i="37"/>
  <c r="L21" i="37" s="1"/>
  <c r="P26" i="37"/>
  <c r="M34" i="37"/>
  <c r="M32" i="37" s="1"/>
  <c r="P46" i="37"/>
  <c r="P50" i="37"/>
  <c r="K53" i="37"/>
  <c r="O69" i="37"/>
  <c r="P79" i="37"/>
  <c r="K88" i="37"/>
  <c r="P91" i="37"/>
  <c r="K94" i="37"/>
  <c r="O94" i="37" s="1"/>
  <c r="P100" i="37"/>
  <c r="P109" i="37"/>
  <c r="L107" i="37"/>
  <c r="P116" i="37"/>
  <c r="P122" i="37"/>
  <c r="P129" i="37"/>
  <c r="K139" i="37"/>
  <c r="O139" i="37" s="1"/>
  <c r="M151" i="37"/>
  <c r="K153" i="37"/>
  <c r="K157" i="37"/>
  <c r="K159" i="37"/>
  <c r="K167" i="37"/>
  <c r="P180" i="37"/>
  <c r="I78" i="37"/>
  <c r="I77" i="37" s="1"/>
  <c r="O87" i="37"/>
  <c r="O86" i="37" s="1"/>
  <c r="K86" i="37"/>
  <c r="L151" i="37"/>
  <c r="L72" i="37"/>
  <c r="L68" i="37"/>
  <c r="L61" i="37" s="1"/>
  <c r="L78" i="37"/>
  <c r="O88" i="37"/>
  <c r="K141" i="37"/>
  <c r="O141" i="37" s="1"/>
  <c r="J108" i="37"/>
  <c r="O159" i="37"/>
  <c r="K188" i="37"/>
  <c r="O188" i="37" s="1"/>
  <c r="O15" i="37"/>
  <c r="P18" i="37"/>
  <c r="O18" i="37"/>
  <c r="I14" i="37"/>
  <c r="I13" i="37" s="1"/>
  <c r="P41" i="37"/>
  <c r="O53" i="37"/>
  <c r="K56" i="37"/>
  <c r="O56" i="37" s="1"/>
  <c r="K62" i="37"/>
  <c r="P69" i="37"/>
  <c r="K79" i="37"/>
  <c r="K78" i="37" s="1"/>
  <c r="K77" i="37" s="1"/>
  <c r="K76" i="37" s="1"/>
  <c r="K75" i="37" s="1"/>
  <c r="K74" i="37" s="1"/>
  <c r="P83" i="37"/>
  <c r="M78" i="37"/>
  <c r="M77" i="37" s="1"/>
  <c r="P88" i="37"/>
  <c r="K91" i="37"/>
  <c r="O91" i="37" s="1"/>
  <c r="P94" i="37"/>
  <c r="P97" i="37"/>
  <c r="K100" i="37"/>
  <c r="P103" i="37"/>
  <c r="O109" i="37"/>
  <c r="O111" i="37"/>
  <c r="K122" i="37"/>
  <c r="O122" i="37" s="1"/>
  <c r="K129" i="37"/>
  <c r="O129" i="37" s="1"/>
  <c r="P139" i="37"/>
  <c r="P141" i="37"/>
  <c r="I152" i="37"/>
  <c r="I151" i="37" s="1"/>
  <c r="P153" i="37"/>
  <c r="K155" i="37"/>
  <c r="O155" i="37" s="1"/>
  <c r="P157" i="37"/>
  <c r="P165" i="37"/>
  <c r="P167" i="37"/>
  <c r="K169" i="37"/>
  <c r="O169" i="37" s="1"/>
  <c r="K174" i="37"/>
  <c r="P177" i="37"/>
  <c r="O177" i="37"/>
  <c r="P184" i="37"/>
  <c r="P188" i="37"/>
  <c r="P8" i="39"/>
  <c r="I6" i="39"/>
  <c r="P110" i="38"/>
  <c r="O110" i="38"/>
  <c r="K6" i="38"/>
  <c r="O78" i="38"/>
  <c r="I77" i="38"/>
  <c r="P78" i="38"/>
  <c r="J10" i="38"/>
  <c r="P11" i="38"/>
  <c r="J75" i="38"/>
  <c r="O11" i="38"/>
  <c r="O178" i="37"/>
  <c r="J164" i="37"/>
  <c r="K165" i="37"/>
  <c r="O165" i="37" s="1"/>
  <c r="J78" i="37"/>
  <c r="K46" i="37"/>
  <c r="O32" i="37"/>
  <c r="K32" i="37"/>
  <c r="P22" i="37"/>
  <c r="I12" i="37"/>
  <c r="J107" i="37"/>
  <c r="O79" i="37"/>
  <c r="N9" i="37"/>
  <c r="N8" i="37" s="1"/>
  <c r="N6" i="37" s="1"/>
  <c r="K61" i="37"/>
  <c r="O61" i="37" s="1"/>
  <c r="O100" i="37"/>
  <c r="L77" i="37"/>
  <c r="O26" i="37"/>
  <c r="O22" i="37" s="1"/>
  <c r="O14" i="37" s="1"/>
  <c r="M48" i="37"/>
  <c r="M9" i="37" s="1"/>
  <c r="M8" i="37" s="1"/>
  <c r="M6" i="37" s="1"/>
  <c r="P62" i="37"/>
  <c r="O64" i="37"/>
  <c r="P134" i="37"/>
  <c r="P174" i="37"/>
  <c r="P59" i="37"/>
  <c r="P61" i="37"/>
  <c r="O62" i="37"/>
  <c r="P136" i="37"/>
  <c r="P148" i="37"/>
  <c r="O167" i="37"/>
  <c r="O174" i="37"/>
  <c r="J14" i="37"/>
  <c r="J13" i="37" s="1"/>
  <c r="L16" i="37"/>
  <c r="K22" i="37"/>
  <c r="K14" i="37" s="1"/>
  <c r="K13" i="37" s="1"/>
  <c r="K12" i="37" s="1"/>
  <c r="K11" i="37" s="1"/>
  <c r="K10" i="37" s="1"/>
  <c r="P27" i="37"/>
  <c r="K48" i="37"/>
  <c r="O48" i="37" s="1"/>
  <c r="P53" i="37"/>
  <c r="K59" i="37"/>
  <c r="O59" i="37" s="1"/>
  <c r="I76" i="37"/>
  <c r="O83" i="37"/>
  <c r="K97" i="37"/>
  <c r="K73" i="37" s="1"/>
  <c r="K72" i="37" s="1"/>
  <c r="I108" i="37"/>
  <c r="P108" i="37" s="1"/>
  <c r="K132" i="37"/>
  <c r="O132" i="37" s="1"/>
  <c r="K134" i="37"/>
  <c r="O134" i="37" s="1"/>
  <c r="K136" i="37"/>
  <c r="O136" i="37" s="1"/>
  <c r="K143" i="37"/>
  <c r="O143" i="37" s="1"/>
  <c r="K180" i="37"/>
  <c r="O180" i="37" s="1"/>
  <c r="P132" i="37"/>
  <c r="P143" i="37"/>
  <c r="L48" i="37"/>
  <c r="O80" i="37"/>
  <c r="O153" i="37"/>
  <c r="O157" i="37"/>
  <c r="K50" i="37"/>
  <c r="O50" i="37" s="1"/>
  <c r="K146" i="37"/>
  <c r="O146" i="37" s="1"/>
  <c r="K148" i="37"/>
  <c r="K108" i="37" s="1"/>
  <c r="K152" i="37"/>
  <c r="K184" i="37"/>
  <c r="O184" i="37" s="1"/>
  <c r="J69" i="36"/>
  <c r="P152" i="37" l="1"/>
  <c r="O97" i="37"/>
  <c r="P6" i="39"/>
  <c r="O77" i="38"/>
  <c r="O76" i="38" s="1"/>
  <c r="O75" i="38" s="1"/>
  <c r="I76" i="38"/>
  <c r="P77" i="38"/>
  <c r="J74" i="38"/>
  <c r="J9" i="38"/>
  <c r="P10" i="38"/>
  <c r="O10" i="38"/>
  <c r="P164" i="37"/>
  <c r="K164" i="37"/>
  <c r="O164" i="37" s="1"/>
  <c r="J163" i="37"/>
  <c r="K107" i="37"/>
  <c r="P78" i="37"/>
  <c r="J77" i="37"/>
  <c r="O78" i="37"/>
  <c r="P14" i="37"/>
  <c r="O13" i="37"/>
  <c r="P13" i="37"/>
  <c r="J12" i="37"/>
  <c r="O12" i="37" s="1"/>
  <c r="O108" i="37"/>
  <c r="I107" i="37"/>
  <c r="I11" i="37"/>
  <c r="K9" i="37"/>
  <c r="K8" i="37" s="1"/>
  <c r="O152" i="37"/>
  <c r="I75" i="37"/>
  <c r="M16" i="37"/>
  <c r="M15" i="37" s="1"/>
  <c r="M14" i="37" s="1"/>
  <c r="M13" i="37" s="1"/>
  <c r="L15" i="37"/>
  <c r="L14" i="37" s="1"/>
  <c r="L13" i="37" s="1"/>
  <c r="L12" i="37" s="1"/>
  <c r="L11" i="37" s="1"/>
  <c r="L10" i="37" s="1"/>
  <c r="L9" i="37" s="1"/>
  <c r="L8" i="37" s="1"/>
  <c r="L6" i="37" s="1"/>
  <c r="O148" i="37"/>
  <c r="P107" i="37"/>
  <c r="J26" i="36"/>
  <c r="P189" i="36"/>
  <c r="K189" i="36"/>
  <c r="O189" i="36" s="1"/>
  <c r="N188" i="36"/>
  <c r="M188" i="36"/>
  <c r="L188" i="36"/>
  <c r="J188" i="36"/>
  <c r="I188" i="36"/>
  <c r="J87" i="36"/>
  <c r="I87" i="36"/>
  <c r="J27" i="36"/>
  <c r="I26" i="36"/>
  <c r="P188" i="36" l="1"/>
  <c r="K188" i="36"/>
  <c r="O188" i="36" s="1"/>
  <c r="O107" i="37"/>
  <c r="O9" i="38"/>
  <c r="J8" i="38"/>
  <c r="P9" i="38"/>
  <c r="I75" i="38"/>
  <c r="P76" i="38"/>
  <c r="J151" i="37"/>
  <c r="P163" i="37"/>
  <c r="P151" i="37" s="1"/>
  <c r="K163" i="37"/>
  <c r="P77" i="37"/>
  <c r="J76" i="37"/>
  <c r="O77" i="37"/>
  <c r="I10" i="37"/>
  <c r="I74" i="37"/>
  <c r="I73" i="37" s="1"/>
  <c r="I72" i="37" s="1"/>
  <c r="P12" i="37"/>
  <c r="J11" i="37"/>
  <c r="O11" i="37" s="1"/>
  <c r="N16" i="37"/>
  <c r="N15" i="37" s="1"/>
  <c r="N14" i="37" s="1"/>
  <c r="N13" i="37" s="1"/>
  <c r="P185" i="36"/>
  <c r="K185" i="36"/>
  <c r="O185" i="36" s="1"/>
  <c r="N184" i="36"/>
  <c r="M184" i="36"/>
  <c r="L184" i="36"/>
  <c r="J184" i="36"/>
  <c r="I184" i="36"/>
  <c r="P182" i="36"/>
  <c r="K182" i="36"/>
  <c r="O182" i="36" s="1"/>
  <c r="P181" i="36"/>
  <c r="K181" i="36"/>
  <c r="O181" i="36" s="1"/>
  <c r="J180" i="36"/>
  <c r="I180" i="36"/>
  <c r="P179" i="36"/>
  <c r="K179" i="36"/>
  <c r="O179" i="36" s="1"/>
  <c r="P178" i="36"/>
  <c r="K178" i="36"/>
  <c r="O178" i="36" s="1"/>
  <c r="J177" i="36"/>
  <c r="I177" i="36"/>
  <c r="P176" i="36"/>
  <c r="K176" i="36"/>
  <c r="O176" i="36" s="1"/>
  <c r="K175" i="36"/>
  <c r="J174" i="36"/>
  <c r="I174" i="36"/>
  <c r="P173" i="36"/>
  <c r="K173" i="36"/>
  <c r="O173" i="36" s="1"/>
  <c r="P172" i="36"/>
  <c r="L172" i="36"/>
  <c r="L169" i="36" s="1"/>
  <c r="K172" i="36"/>
  <c r="O172" i="36" s="1"/>
  <c r="K171" i="36"/>
  <c r="K170" i="36"/>
  <c r="J169" i="36"/>
  <c r="I169" i="36"/>
  <c r="P168" i="36"/>
  <c r="L168" i="36"/>
  <c r="K168" i="36"/>
  <c r="O168" i="36" s="1"/>
  <c r="L167" i="36"/>
  <c r="J167" i="36"/>
  <c r="I167" i="36"/>
  <c r="P166" i="36"/>
  <c r="L166" i="36"/>
  <c r="K166" i="36"/>
  <c r="O166" i="36" s="1"/>
  <c r="L165" i="36"/>
  <c r="J165" i="36"/>
  <c r="P165" i="36" s="1"/>
  <c r="I165" i="36"/>
  <c r="N164" i="36"/>
  <c r="N163" i="36" s="1"/>
  <c r="M164" i="36"/>
  <c r="L164" i="36"/>
  <c r="L163" i="36" s="1"/>
  <c r="I164" i="36"/>
  <c r="M163" i="36"/>
  <c r="I163" i="36"/>
  <c r="P161" i="36"/>
  <c r="K161" i="36"/>
  <c r="O161" i="36" s="1"/>
  <c r="J159" i="36"/>
  <c r="I159" i="36"/>
  <c r="P158" i="36"/>
  <c r="L158" i="36"/>
  <c r="K158" i="36"/>
  <c r="O158" i="36" s="1"/>
  <c r="L157" i="36"/>
  <c r="J157" i="36"/>
  <c r="I157" i="36"/>
  <c r="P156" i="36"/>
  <c r="L156" i="36"/>
  <c r="K156" i="36"/>
  <c r="O156" i="36" s="1"/>
  <c r="L155" i="36"/>
  <c r="J155" i="36"/>
  <c r="P155" i="36" s="1"/>
  <c r="I155" i="36"/>
  <c r="P154" i="36"/>
  <c r="L154" i="36"/>
  <c r="K154" i="36"/>
  <c r="O154" i="36" s="1"/>
  <c r="L153" i="36"/>
  <c r="J153" i="36"/>
  <c r="P153" i="36" s="1"/>
  <c r="I153" i="36"/>
  <c r="N152" i="36"/>
  <c r="M152" i="36"/>
  <c r="L152" i="36"/>
  <c r="I152" i="36"/>
  <c r="P149" i="36"/>
  <c r="K149" i="36"/>
  <c r="O149" i="36" s="1"/>
  <c r="J148" i="36"/>
  <c r="I148" i="36"/>
  <c r="P147" i="36"/>
  <c r="K147" i="36"/>
  <c r="O147" i="36" s="1"/>
  <c r="J146" i="36"/>
  <c r="I146" i="36"/>
  <c r="P145" i="36"/>
  <c r="K145" i="36"/>
  <c r="P144" i="36"/>
  <c r="K144" i="36"/>
  <c r="O144" i="36" s="1"/>
  <c r="J143" i="36"/>
  <c r="I143" i="36"/>
  <c r="P142" i="36"/>
  <c r="L142" i="36"/>
  <c r="K142" i="36"/>
  <c r="O142" i="36" s="1"/>
  <c r="L141" i="36"/>
  <c r="J141" i="36"/>
  <c r="I141" i="36"/>
  <c r="P140" i="36"/>
  <c r="K140" i="36"/>
  <c r="O140" i="36" s="1"/>
  <c r="J139" i="36"/>
  <c r="I139" i="36"/>
  <c r="P138" i="36"/>
  <c r="K138" i="36"/>
  <c r="O138" i="36" s="1"/>
  <c r="P137" i="36"/>
  <c r="K137" i="36"/>
  <c r="K136" i="36" s="1"/>
  <c r="N136" i="36"/>
  <c r="M136" i="36"/>
  <c r="L136" i="36"/>
  <c r="J136" i="36"/>
  <c r="I136" i="36"/>
  <c r="O136" i="36" s="1"/>
  <c r="P135" i="36"/>
  <c r="O135" i="36"/>
  <c r="K135" i="36"/>
  <c r="K134" i="36"/>
  <c r="J134" i="36"/>
  <c r="I134" i="36"/>
  <c r="P133" i="36"/>
  <c r="K133" i="36"/>
  <c r="O133" i="36" s="1"/>
  <c r="J132" i="36"/>
  <c r="I132" i="36"/>
  <c r="P131" i="36"/>
  <c r="K131" i="36"/>
  <c r="O131" i="36" s="1"/>
  <c r="P130" i="36"/>
  <c r="K130" i="36"/>
  <c r="O130" i="36" s="1"/>
  <c r="J129" i="36"/>
  <c r="I129" i="36"/>
  <c r="P128" i="36"/>
  <c r="K128" i="36"/>
  <c r="O128" i="36" s="1"/>
  <c r="K127" i="36"/>
  <c r="O127" i="36" s="1"/>
  <c r="O126" i="36"/>
  <c r="K126" i="36"/>
  <c r="K125" i="36"/>
  <c r="O125" i="36" s="1"/>
  <c r="P124" i="36"/>
  <c r="O124" i="36"/>
  <c r="K124" i="36"/>
  <c r="P123" i="36"/>
  <c r="K123" i="36"/>
  <c r="O123" i="36" s="1"/>
  <c r="N122" i="36"/>
  <c r="M122" i="36"/>
  <c r="L122" i="36"/>
  <c r="J122" i="36"/>
  <c r="I122" i="36"/>
  <c r="P121" i="36"/>
  <c r="K121" i="36"/>
  <c r="O121" i="36" s="1"/>
  <c r="O120" i="36" s="1"/>
  <c r="P120" i="36"/>
  <c r="K120" i="36"/>
  <c r="K119" i="36" s="1"/>
  <c r="J119" i="36"/>
  <c r="I119" i="36"/>
  <c r="P119" i="36" s="1"/>
  <c r="P118" i="36"/>
  <c r="K118" i="36"/>
  <c r="O118" i="36" s="1"/>
  <c r="O117" i="36" s="1"/>
  <c r="P117" i="36"/>
  <c r="K117" i="36"/>
  <c r="K116" i="36" s="1"/>
  <c r="J116" i="36"/>
  <c r="I116" i="36"/>
  <c r="P115" i="36"/>
  <c r="K115" i="36"/>
  <c r="O115" i="36" s="1"/>
  <c r="O114" i="36" s="1"/>
  <c r="P114" i="36"/>
  <c r="K114" i="36"/>
  <c r="K113" i="36" s="1"/>
  <c r="J113" i="36"/>
  <c r="I113" i="36"/>
  <c r="P112" i="36"/>
  <c r="L112" i="36"/>
  <c r="K112" i="36"/>
  <c r="O112" i="36" s="1"/>
  <c r="L111" i="36"/>
  <c r="K111" i="36"/>
  <c r="J111" i="36"/>
  <c r="I111" i="36"/>
  <c r="P110" i="36"/>
  <c r="L110" i="36"/>
  <c r="K110" i="36"/>
  <c r="O110" i="36" s="1"/>
  <c r="L109" i="36"/>
  <c r="L108" i="36" s="1"/>
  <c r="L107" i="36" s="1"/>
  <c r="J109" i="36"/>
  <c r="I109" i="36"/>
  <c r="N107" i="36"/>
  <c r="M107" i="36"/>
  <c r="P105" i="36"/>
  <c r="L105" i="36"/>
  <c r="L103" i="36" s="1"/>
  <c r="K105" i="36"/>
  <c r="P104" i="36"/>
  <c r="K104" i="36"/>
  <c r="O104" i="36" s="1"/>
  <c r="J103" i="36"/>
  <c r="I103" i="36"/>
  <c r="P102" i="36"/>
  <c r="L102" i="36"/>
  <c r="K102" i="36"/>
  <c r="O102" i="36" s="1"/>
  <c r="K101" i="36"/>
  <c r="K100" i="36" s="1"/>
  <c r="J100" i="36"/>
  <c r="I100" i="36"/>
  <c r="P99" i="36"/>
  <c r="K99" i="36"/>
  <c r="K97" i="36" s="1"/>
  <c r="P98" i="36"/>
  <c r="O98" i="36"/>
  <c r="K98" i="36"/>
  <c r="J97" i="36"/>
  <c r="I97" i="36"/>
  <c r="P96" i="36"/>
  <c r="K96" i="36"/>
  <c r="O96" i="36" s="1"/>
  <c r="P95" i="36"/>
  <c r="K95" i="36"/>
  <c r="O95" i="36" s="1"/>
  <c r="J94" i="36"/>
  <c r="P94" i="36" s="1"/>
  <c r="I94" i="36"/>
  <c r="P93" i="36"/>
  <c r="K93" i="36"/>
  <c r="O93" i="36" s="1"/>
  <c r="P92" i="36"/>
  <c r="K92" i="36"/>
  <c r="O92" i="36" s="1"/>
  <c r="J91" i="36"/>
  <c r="P91" i="36" s="1"/>
  <c r="I91" i="36"/>
  <c r="P90" i="36"/>
  <c r="L90" i="36"/>
  <c r="K90" i="36"/>
  <c r="O90" i="36" s="1"/>
  <c r="P89" i="36"/>
  <c r="L89" i="36"/>
  <c r="L88" i="36" s="1"/>
  <c r="K89" i="36"/>
  <c r="O89" i="36" s="1"/>
  <c r="N88" i="36"/>
  <c r="M88" i="36"/>
  <c r="K88" i="36"/>
  <c r="J88" i="36"/>
  <c r="I88" i="36"/>
  <c r="N87" i="36"/>
  <c r="N86" i="36" s="1"/>
  <c r="L87" i="36"/>
  <c r="L86" i="36" s="1"/>
  <c r="I86" i="36"/>
  <c r="M85" i="36"/>
  <c r="M87" i="36" s="1"/>
  <c r="M86" i="36" s="1"/>
  <c r="K85" i="36"/>
  <c r="O85" i="36" s="1"/>
  <c r="P84" i="36"/>
  <c r="K84" i="36"/>
  <c r="O84" i="36" s="1"/>
  <c r="J83" i="36"/>
  <c r="I83" i="36"/>
  <c r="P82" i="36"/>
  <c r="L82" i="36"/>
  <c r="K82" i="36"/>
  <c r="O82" i="36" s="1"/>
  <c r="P81" i="36"/>
  <c r="N81" i="36"/>
  <c r="M81" i="36"/>
  <c r="L81" i="36"/>
  <c r="K81" i="36"/>
  <c r="O81" i="36" s="1"/>
  <c r="P80" i="36"/>
  <c r="N80" i="36"/>
  <c r="M80" i="36"/>
  <c r="M79" i="36" s="1"/>
  <c r="L80" i="36"/>
  <c r="K80" i="36"/>
  <c r="J79" i="36"/>
  <c r="I79" i="36"/>
  <c r="N74" i="36"/>
  <c r="M74" i="36"/>
  <c r="L74" i="36"/>
  <c r="N73" i="36"/>
  <c r="N72" i="36" s="1"/>
  <c r="M73" i="36"/>
  <c r="L73" i="36"/>
  <c r="M72" i="36"/>
  <c r="P70" i="36"/>
  <c r="N70" i="36"/>
  <c r="M70" i="36"/>
  <c r="L70" i="36"/>
  <c r="O70" i="36"/>
  <c r="I69" i="36"/>
  <c r="P68" i="36"/>
  <c r="K68" i="36"/>
  <c r="O68" i="36" s="1"/>
  <c r="M67" i="36"/>
  <c r="K67" i="36"/>
  <c r="O67" i="36" s="1"/>
  <c r="P66" i="36"/>
  <c r="K66" i="36"/>
  <c r="O66" i="36" s="1"/>
  <c r="P65" i="36"/>
  <c r="K65" i="36"/>
  <c r="O65" i="36" s="1"/>
  <c r="P64" i="36"/>
  <c r="N64" i="36"/>
  <c r="N61" i="36" s="1"/>
  <c r="M64" i="36"/>
  <c r="M61" i="36" s="1"/>
  <c r="L64" i="36"/>
  <c r="K64" i="36"/>
  <c r="P63" i="36"/>
  <c r="K63" i="36"/>
  <c r="O63" i="36" s="1"/>
  <c r="J62" i="36"/>
  <c r="J61" i="36" s="1"/>
  <c r="I62" i="36"/>
  <c r="P60" i="36"/>
  <c r="L60" i="36"/>
  <c r="K60" i="36"/>
  <c r="O60" i="36" s="1"/>
  <c r="N59" i="36"/>
  <c r="M59" i="36"/>
  <c r="L59" i="36"/>
  <c r="J59" i="36"/>
  <c r="P59" i="36" s="1"/>
  <c r="I59" i="36"/>
  <c r="P58" i="36"/>
  <c r="K58" i="36"/>
  <c r="O58" i="36" s="1"/>
  <c r="P57" i="36"/>
  <c r="K57" i="36"/>
  <c r="O57" i="36" s="1"/>
  <c r="J56" i="36"/>
  <c r="I56" i="36"/>
  <c r="P55" i="36"/>
  <c r="K55" i="36"/>
  <c r="O55" i="36" s="1"/>
  <c r="P54" i="36"/>
  <c r="K54" i="36"/>
  <c r="O54" i="36" s="1"/>
  <c r="J53" i="36"/>
  <c r="I53" i="36"/>
  <c r="P52" i="36"/>
  <c r="K52" i="36"/>
  <c r="O52" i="36" s="1"/>
  <c r="P51" i="36"/>
  <c r="K51" i="36"/>
  <c r="O51" i="36" s="1"/>
  <c r="J50" i="36"/>
  <c r="I50" i="36"/>
  <c r="P49" i="36"/>
  <c r="K49" i="36"/>
  <c r="K48" i="36" s="1"/>
  <c r="P48" i="36"/>
  <c r="J48" i="36"/>
  <c r="I48" i="36"/>
  <c r="P47" i="36"/>
  <c r="N47" i="36"/>
  <c r="N48" i="36" s="1"/>
  <c r="M47" i="36"/>
  <c r="M46" i="36" s="1"/>
  <c r="L47" i="36"/>
  <c r="L48" i="36" s="1"/>
  <c r="K47" i="36"/>
  <c r="O47" i="36" s="1"/>
  <c r="O46" i="36" s="1"/>
  <c r="N46" i="36"/>
  <c r="J46" i="36"/>
  <c r="I46" i="36"/>
  <c r="P45" i="36"/>
  <c r="K45" i="36"/>
  <c r="O45" i="36" s="1"/>
  <c r="P44" i="36"/>
  <c r="K44" i="36"/>
  <c r="O44" i="36" s="1"/>
  <c r="P43" i="36"/>
  <c r="K43" i="36"/>
  <c r="P42" i="36"/>
  <c r="K42" i="36"/>
  <c r="J41" i="36"/>
  <c r="I41" i="36"/>
  <c r="P40" i="36"/>
  <c r="L40" i="36"/>
  <c r="L34" i="36" s="1"/>
  <c r="K40" i="36"/>
  <c r="O40" i="36" s="1"/>
  <c r="P39" i="36"/>
  <c r="K39" i="36"/>
  <c r="O39" i="36" s="1"/>
  <c r="P38" i="36"/>
  <c r="M38" i="36"/>
  <c r="K38" i="36"/>
  <c r="O38" i="36" s="1"/>
  <c r="P37" i="36"/>
  <c r="M37" i="36"/>
  <c r="M34" i="36" s="1"/>
  <c r="M32" i="36" s="1"/>
  <c r="K37" i="36"/>
  <c r="O37" i="36" s="1"/>
  <c r="P36" i="36"/>
  <c r="K36" i="36"/>
  <c r="O36" i="36" s="1"/>
  <c r="P35" i="36"/>
  <c r="K35" i="36"/>
  <c r="O35" i="36" s="1"/>
  <c r="P34" i="36"/>
  <c r="N34" i="36"/>
  <c r="N32" i="36" s="1"/>
  <c r="K34" i="36"/>
  <c r="O34" i="36" s="1"/>
  <c r="P33" i="36"/>
  <c r="L33" i="36"/>
  <c r="K33" i="36"/>
  <c r="O33" i="36" s="1"/>
  <c r="J32" i="36"/>
  <c r="I32" i="36"/>
  <c r="P31" i="36"/>
  <c r="K31" i="36"/>
  <c r="O31" i="36" s="1"/>
  <c r="P30" i="36"/>
  <c r="M30" i="36"/>
  <c r="K30" i="36"/>
  <c r="O30" i="36" s="1"/>
  <c r="P29" i="36"/>
  <c r="M29" i="36"/>
  <c r="K29" i="36"/>
  <c r="O29" i="36" s="1"/>
  <c r="P28" i="36"/>
  <c r="L28" i="36"/>
  <c r="K28" i="36"/>
  <c r="O28" i="36" s="1"/>
  <c r="L27" i="36"/>
  <c r="K27" i="36"/>
  <c r="P27" i="36"/>
  <c r="L26" i="36"/>
  <c r="K26" i="36"/>
  <c r="O26" i="36" s="1"/>
  <c r="P26" i="36"/>
  <c r="P25" i="36"/>
  <c r="L25" i="36"/>
  <c r="K25" i="36"/>
  <c r="O25" i="36" s="1"/>
  <c r="P24" i="36"/>
  <c r="L24" i="36"/>
  <c r="K24" i="36"/>
  <c r="O24" i="36" s="1"/>
  <c r="P23" i="36"/>
  <c r="L23" i="36"/>
  <c r="K23" i="36"/>
  <c r="O23" i="36" s="1"/>
  <c r="N22" i="36"/>
  <c r="M22" i="36"/>
  <c r="J22" i="36"/>
  <c r="I22" i="36"/>
  <c r="P21" i="36"/>
  <c r="K21" i="36"/>
  <c r="O21" i="36" s="1"/>
  <c r="P20" i="36"/>
  <c r="K20" i="36"/>
  <c r="O20" i="36" s="1"/>
  <c r="P19" i="36"/>
  <c r="K19" i="36"/>
  <c r="O19" i="36" s="1"/>
  <c r="N18" i="36"/>
  <c r="M18" i="36"/>
  <c r="L18" i="36"/>
  <c r="J18" i="36"/>
  <c r="I18" i="36"/>
  <c r="P17" i="36"/>
  <c r="K17" i="36"/>
  <c r="O17" i="36" s="1"/>
  <c r="P16" i="36"/>
  <c r="K16" i="36"/>
  <c r="O16" i="36" s="1"/>
  <c r="J15" i="36"/>
  <c r="I15" i="36"/>
  <c r="N11" i="36"/>
  <c r="M11" i="36"/>
  <c r="N10" i="36"/>
  <c r="M10" i="36"/>
  <c r="P18" i="36" l="1"/>
  <c r="L79" i="36"/>
  <c r="L78" i="36" s="1"/>
  <c r="L77" i="36" s="1"/>
  <c r="N79" i="36"/>
  <c r="N78" i="36" s="1"/>
  <c r="N77" i="36" s="1"/>
  <c r="K83" i="36"/>
  <c r="O83" i="36" s="1"/>
  <c r="M151" i="36"/>
  <c r="P167" i="36"/>
  <c r="P180" i="36"/>
  <c r="L151" i="36"/>
  <c r="N151" i="36"/>
  <c r="P32" i="36"/>
  <c r="L32" i="36"/>
  <c r="O48" i="36"/>
  <c r="P53" i="36"/>
  <c r="P56" i="36"/>
  <c r="P79" i="36"/>
  <c r="I108" i="36"/>
  <c r="O111" i="36"/>
  <c r="P113" i="36"/>
  <c r="P129" i="36"/>
  <c r="P132" i="36"/>
  <c r="K132" i="36"/>
  <c r="O134" i="36"/>
  <c r="P136" i="36"/>
  <c r="P143" i="36"/>
  <c r="K159" i="36"/>
  <c r="I151" i="36"/>
  <c r="O8" i="38"/>
  <c r="I74" i="38"/>
  <c r="I6" i="38" s="1"/>
  <c r="P75" i="38"/>
  <c r="J6" i="38"/>
  <c r="V12" i="38" s="1"/>
  <c r="P8" i="38"/>
  <c r="O163" i="37"/>
  <c r="K151" i="37"/>
  <c r="O76" i="37"/>
  <c r="J75" i="37"/>
  <c r="P76" i="37"/>
  <c r="I9" i="37"/>
  <c r="P11" i="37"/>
  <c r="J10" i="37"/>
  <c r="O10" i="37" s="1"/>
  <c r="L22" i="36"/>
  <c r="L21" i="36" s="1"/>
  <c r="I78" i="36"/>
  <c r="M78" i="36"/>
  <c r="M77" i="36" s="1"/>
  <c r="O97" i="36"/>
  <c r="K103" i="36"/>
  <c r="O103" i="36" s="1"/>
  <c r="O159" i="36"/>
  <c r="K169" i="36"/>
  <c r="O169" i="36" s="1"/>
  <c r="I14" i="36"/>
  <c r="I13" i="36" s="1"/>
  <c r="I12" i="36" s="1"/>
  <c r="P41" i="36"/>
  <c r="P46" i="36"/>
  <c r="K56" i="36"/>
  <c r="O56" i="36" s="1"/>
  <c r="K62" i="36"/>
  <c r="O62" i="36" s="1"/>
  <c r="O88" i="36"/>
  <c r="P97" i="36"/>
  <c r="P103" i="36"/>
  <c r="J108" i="36"/>
  <c r="J107" i="36" s="1"/>
  <c r="P109" i="36"/>
  <c r="P111" i="36"/>
  <c r="P116" i="36"/>
  <c r="K122" i="36"/>
  <c r="K129" i="36"/>
  <c r="O129" i="36" s="1"/>
  <c r="O132" i="36"/>
  <c r="P134" i="36"/>
  <c r="P139" i="36"/>
  <c r="P141" i="36"/>
  <c r="K143" i="36"/>
  <c r="O143" i="36" s="1"/>
  <c r="K155" i="36"/>
  <c r="O155" i="36" s="1"/>
  <c r="P157" i="36"/>
  <c r="P159" i="36"/>
  <c r="J164" i="36"/>
  <c r="P164" i="36" s="1"/>
  <c r="P169" i="36"/>
  <c r="P174" i="36"/>
  <c r="K174" i="36"/>
  <c r="O174" i="36" s="1"/>
  <c r="P184" i="36"/>
  <c r="K184" i="36"/>
  <c r="O184" i="36" s="1"/>
  <c r="K177" i="36"/>
  <c r="O177" i="36" s="1"/>
  <c r="K164" i="36"/>
  <c r="O164" i="36" s="1"/>
  <c r="K165" i="36"/>
  <c r="O165" i="36" s="1"/>
  <c r="O122" i="36"/>
  <c r="J152" i="36"/>
  <c r="K109" i="36"/>
  <c r="O109" i="36" s="1"/>
  <c r="O105" i="36"/>
  <c r="O100" i="36"/>
  <c r="K94" i="36"/>
  <c r="O94" i="36" s="1"/>
  <c r="K79" i="36"/>
  <c r="O79" i="36" s="1"/>
  <c r="I61" i="36"/>
  <c r="P61" i="36" s="1"/>
  <c r="K46" i="36"/>
  <c r="K41" i="36"/>
  <c r="O41" i="36" s="1"/>
  <c r="O42" i="36"/>
  <c r="O32" i="36"/>
  <c r="O22" i="36"/>
  <c r="K22" i="36"/>
  <c r="P22" i="36"/>
  <c r="J14" i="36"/>
  <c r="J13" i="36" s="1"/>
  <c r="J12" i="36" s="1"/>
  <c r="O18" i="36"/>
  <c r="O15" i="36"/>
  <c r="K15" i="36"/>
  <c r="L16" i="36"/>
  <c r="M16" i="36" s="1"/>
  <c r="M15" i="36" s="1"/>
  <c r="M14" i="36" s="1"/>
  <c r="M13" i="36" s="1"/>
  <c r="I77" i="36"/>
  <c r="L68" i="36"/>
  <c r="L61" i="36" s="1"/>
  <c r="L72" i="36"/>
  <c r="N9" i="36"/>
  <c r="N8" i="36" s="1"/>
  <c r="N6" i="36" s="1"/>
  <c r="I107" i="36"/>
  <c r="P15" i="36"/>
  <c r="P14" i="36" s="1"/>
  <c r="K18" i="36"/>
  <c r="O27" i="36"/>
  <c r="L46" i="36"/>
  <c r="L45" i="36" s="1"/>
  <c r="O49" i="36"/>
  <c r="K50" i="36"/>
  <c r="O50" i="36" s="1"/>
  <c r="K69" i="36"/>
  <c r="O69" i="36" s="1"/>
  <c r="P87" i="36"/>
  <c r="P86" i="36" s="1"/>
  <c r="P88" i="36"/>
  <c r="O99" i="36"/>
  <c r="P122" i="36"/>
  <c r="O137" i="36"/>
  <c r="O145" i="36"/>
  <c r="K146" i="36"/>
  <c r="O146" i="36" s="1"/>
  <c r="K148" i="36"/>
  <c r="O148" i="36" s="1"/>
  <c r="K152" i="36"/>
  <c r="K153" i="36"/>
  <c r="O153" i="36" s="1"/>
  <c r="K157" i="36"/>
  <c r="O157" i="36" s="1"/>
  <c r="K167" i="36"/>
  <c r="O167" i="36" s="1"/>
  <c r="P177" i="36"/>
  <c r="K32" i="36"/>
  <c r="M48" i="36"/>
  <c r="M9" i="36" s="1"/>
  <c r="M8" i="36" s="1"/>
  <c r="M6" i="36" s="1"/>
  <c r="K53" i="36"/>
  <c r="O53" i="36" s="1"/>
  <c r="P62" i="36"/>
  <c r="O64" i="36"/>
  <c r="O80" i="36"/>
  <c r="P83" i="36"/>
  <c r="J86" i="36"/>
  <c r="J78" i="36" s="1"/>
  <c r="K87" i="36"/>
  <c r="K86" i="36" s="1"/>
  <c r="K91" i="36"/>
  <c r="O91" i="36" s="1"/>
  <c r="K139" i="36"/>
  <c r="O139" i="36" s="1"/>
  <c r="K141" i="36"/>
  <c r="O141" i="36" s="1"/>
  <c r="P50" i="36"/>
  <c r="P69" i="36"/>
  <c r="P100" i="36"/>
  <c r="P146" i="36"/>
  <c r="P148" i="36"/>
  <c r="K59" i="36"/>
  <c r="O59" i="36" s="1"/>
  <c r="K180" i="36"/>
  <c r="O180" i="36" s="1"/>
  <c r="P63" i="35"/>
  <c r="K63" i="35"/>
  <c r="O63" i="35" s="1"/>
  <c r="J62" i="35"/>
  <c r="J61" i="35" s="1"/>
  <c r="I62" i="35"/>
  <c r="I61" i="35" s="1"/>
  <c r="J27" i="35"/>
  <c r="P27" i="35" s="1"/>
  <c r="I26" i="35"/>
  <c r="P26" i="35" s="1"/>
  <c r="I15" i="35"/>
  <c r="P185" i="35"/>
  <c r="K185" i="35"/>
  <c r="O185" i="35" s="1"/>
  <c r="N184" i="35"/>
  <c r="M184" i="35"/>
  <c r="L184" i="35"/>
  <c r="J184" i="35"/>
  <c r="I184" i="35"/>
  <c r="P182" i="35"/>
  <c r="K182" i="35"/>
  <c r="P181" i="35"/>
  <c r="K181" i="35"/>
  <c r="O181" i="35" s="1"/>
  <c r="J180" i="35"/>
  <c r="I180" i="35"/>
  <c r="P179" i="35"/>
  <c r="K179" i="35"/>
  <c r="O179" i="35" s="1"/>
  <c r="P178" i="35"/>
  <c r="K178" i="35"/>
  <c r="O178" i="35" s="1"/>
  <c r="J177" i="35"/>
  <c r="I177" i="35"/>
  <c r="P176" i="35"/>
  <c r="K176" i="35"/>
  <c r="O176" i="35" s="1"/>
  <c r="K175" i="35"/>
  <c r="J174" i="35"/>
  <c r="I174" i="35"/>
  <c r="P173" i="35"/>
  <c r="K173" i="35"/>
  <c r="O173" i="35" s="1"/>
  <c r="P172" i="35"/>
  <c r="L172" i="35"/>
  <c r="K172" i="35"/>
  <c r="O172" i="35" s="1"/>
  <c r="K171" i="35"/>
  <c r="K170" i="35"/>
  <c r="L169" i="35"/>
  <c r="J169" i="35"/>
  <c r="I169" i="35"/>
  <c r="P168" i="35"/>
  <c r="L168" i="35"/>
  <c r="K168" i="35"/>
  <c r="O168" i="35" s="1"/>
  <c r="L167" i="35"/>
  <c r="J167" i="35"/>
  <c r="I167" i="35"/>
  <c r="P166" i="35"/>
  <c r="L166" i="35"/>
  <c r="K166" i="35"/>
  <c r="O166" i="35" s="1"/>
  <c r="L165" i="35"/>
  <c r="L164" i="35" s="1"/>
  <c r="L163" i="35" s="1"/>
  <c r="J165" i="35"/>
  <c r="I165" i="35"/>
  <c r="I164" i="35" s="1"/>
  <c r="I163" i="35" s="1"/>
  <c r="N164" i="35"/>
  <c r="M164" i="35"/>
  <c r="M163" i="35" s="1"/>
  <c r="N163" i="35"/>
  <c r="P161" i="35"/>
  <c r="K161" i="35"/>
  <c r="O161" i="35" s="1"/>
  <c r="J159" i="35"/>
  <c r="I159" i="35"/>
  <c r="P158" i="35"/>
  <c r="L158" i="35"/>
  <c r="K158" i="35"/>
  <c r="O158" i="35" s="1"/>
  <c r="L157" i="35"/>
  <c r="J157" i="35"/>
  <c r="I157" i="35"/>
  <c r="P156" i="35"/>
  <c r="L156" i="35"/>
  <c r="K156" i="35"/>
  <c r="O156" i="35" s="1"/>
  <c r="L155" i="35"/>
  <c r="J155" i="35"/>
  <c r="I155" i="35"/>
  <c r="P154" i="35"/>
  <c r="L154" i="35"/>
  <c r="K154" i="35"/>
  <c r="O154" i="35" s="1"/>
  <c r="L153" i="35"/>
  <c r="L152" i="35" s="1"/>
  <c r="J153" i="35"/>
  <c r="I153" i="35"/>
  <c r="I152" i="35" s="1"/>
  <c r="N152" i="35"/>
  <c r="M152" i="35"/>
  <c r="P149" i="35"/>
  <c r="K149" i="35"/>
  <c r="O149" i="35" s="1"/>
  <c r="J148" i="35"/>
  <c r="I148" i="35"/>
  <c r="P147" i="35"/>
  <c r="K147" i="35"/>
  <c r="O147" i="35" s="1"/>
  <c r="J146" i="35"/>
  <c r="I146" i="35"/>
  <c r="P145" i="35"/>
  <c r="K145" i="35"/>
  <c r="P144" i="35"/>
  <c r="K144" i="35"/>
  <c r="O144" i="35" s="1"/>
  <c r="J143" i="35"/>
  <c r="I143" i="35"/>
  <c r="P142" i="35"/>
  <c r="L142" i="35"/>
  <c r="K142" i="35"/>
  <c r="O142" i="35" s="1"/>
  <c r="L141" i="35"/>
  <c r="J141" i="35"/>
  <c r="I141" i="35"/>
  <c r="P140" i="35"/>
  <c r="K140" i="35"/>
  <c r="O140" i="35" s="1"/>
  <c r="J139" i="35"/>
  <c r="I139" i="35"/>
  <c r="P138" i="35"/>
  <c r="K138" i="35"/>
  <c r="O138" i="35" s="1"/>
  <c r="P137" i="35"/>
  <c r="K137" i="35"/>
  <c r="K136" i="35" s="1"/>
  <c r="N136" i="35"/>
  <c r="M136" i="35"/>
  <c r="L136" i="35"/>
  <c r="J136" i="35"/>
  <c r="I136" i="35"/>
  <c r="P135" i="35"/>
  <c r="K135" i="35"/>
  <c r="O135" i="35" s="1"/>
  <c r="J134" i="35"/>
  <c r="I134" i="35"/>
  <c r="P133" i="35"/>
  <c r="K133" i="35"/>
  <c r="O133" i="35" s="1"/>
  <c r="J132" i="35"/>
  <c r="I132" i="35"/>
  <c r="P131" i="35"/>
  <c r="K131" i="35"/>
  <c r="O131" i="35" s="1"/>
  <c r="P130" i="35"/>
  <c r="K130" i="35"/>
  <c r="O130" i="35" s="1"/>
  <c r="J129" i="35"/>
  <c r="I129" i="35"/>
  <c r="P128" i="35"/>
  <c r="K128" i="35"/>
  <c r="O128" i="35" s="1"/>
  <c r="K127" i="35"/>
  <c r="O127" i="35" s="1"/>
  <c r="K126" i="35"/>
  <c r="O126" i="35" s="1"/>
  <c r="K125" i="35"/>
  <c r="O125" i="35" s="1"/>
  <c r="P124" i="35"/>
  <c r="K124" i="35"/>
  <c r="O124" i="35" s="1"/>
  <c r="P123" i="35"/>
  <c r="K123" i="35"/>
  <c r="O123" i="35" s="1"/>
  <c r="N122" i="35"/>
  <c r="N107" i="35" s="1"/>
  <c r="M122" i="35"/>
  <c r="L122" i="35"/>
  <c r="J122" i="35"/>
  <c r="I122" i="35"/>
  <c r="P121" i="35"/>
  <c r="K121" i="35"/>
  <c r="O121" i="35" s="1"/>
  <c r="O120" i="35" s="1"/>
  <c r="P120" i="35"/>
  <c r="K120" i="35"/>
  <c r="K119" i="35" s="1"/>
  <c r="J119" i="35"/>
  <c r="I119" i="35"/>
  <c r="P118" i="35"/>
  <c r="K118" i="35"/>
  <c r="O118" i="35" s="1"/>
  <c r="O117" i="35" s="1"/>
  <c r="P117" i="35"/>
  <c r="K117" i="35"/>
  <c r="J116" i="35"/>
  <c r="I116" i="35"/>
  <c r="P115" i="35"/>
  <c r="K115" i="35"/>
  <c r="O115" i="35" s="1"/>
  <c r="O114" i="35" s="1"/>
  <c r="P114" i="35"/>
  <c r="K114" i="35"/>
  <c r="J113" i="35"/>
  <c r="I113" i="35"/>
  <c r="P112" i="35"/>
  <c r="L112" i="35"/>
  <c r="K112" i="35"/>
  <c r="O112" i="35" s="1"/>
  <c r="L111" i="35"/>
  <c r="J111" i="35"/>
  <c r="I111" i="35"/>
  <c r="P110" i="35"/>
  <c r="L110" i="35"/>
  <c r="K110" i="35"/>
  <c r="O110" i="35" s="1"/>
  <c r="L109" i="35"/>
  <c r="L108" i="35" s="1"/>
  <c r="L107" i="35" s="1"/>
  <c r="J109" i="35"/>
  <c r="I109" i="35"/>
  <c r="M107" i="35"/>
  <c r="P105" i="35"/>
  <c r="L105" i="35"/>
  <c r="L103" i="35" s="1"/>
  <c r="L68" i="35" s="1"/>
  <c r="K105" i="35"/>
  <c r="P104" i="35"/>
  <c r="K104" i="35"/>
  <c r="O104" i="35" s="1"/>
  <c r="J103" i="35"/>
  <c r="I103" i="35"/>
  <c r="P102" i="35"/>
  <c r="L102" i="35"/>
  <c r="K102" i="35"/>
  <c r="O102" i="35" s="1"/>
  <c r="K101" i="35"/>
  <c r="J100" i="35"/>
  <c r="I100" i="35"/>
  <c r="P99" i="35"/>
  <c r="K99" i="35"/>
  <c r="P98" i="35"/>
  <c r="K98" i="35"/>
  <c r="O98" i="35" s="1"/>
  <c r="J97" i="35"/>
  <c r="I97" i="35"/>
  <c r="P96" i="35"/>
  <c r="K96" i="35"/>
  <c r="O96" i="35" s="1"/>
  <c r="P95" i="35"/>
  <c r="K95" i="35"/>
  <c r="O95" i="35" s="1"/>
  <c r="J94" i="35"/>
  <c r="I94" i="35"/>
  <c r="P93" i="35"/>
  <c r="K93" i="35"/>
  <c r="O93" i="35" s="1"/>
  <c r="P92" i="35"/>
  <c r="K92" i="35"/>
  <c r="K91" i="35" s="1"/>
  <c r="J91" i="35"/>
  <c r="I91" i="35"/>
  <c r="P90" i="35"/>
  <c r="L90" i="35"/>
  <c r="L89" i="35" s="1"/>
  <c r="L88" i="35" s="1"/>
  <c r="K90" i="35"/>
  <c r="O90" i="35" s="1"/>
  <c r="P89" i="35"/>
  <c r="K89" i="35"/>
  <c r="K88" i="35" s="1"/>
  <c r="N88" i="35"/>
  <c r="M88" i="35"/>
  <c r="J88" i="35"/>
  <c r="I88" i="35"/>
  <c r="N87" i="35"/>
  <c r="N86" i="35" s="1"/>
  <c r="L87" i="35"/>
  <c r="J87" i="35"/>
  <c r="P87" i="35" s="1"/>
  <c r="P86" i="35" s="1"/>
  <c r="L86" i="35"/>
  <c r="I86" i="35"/>
  <c r="M85" i="35"/>
  <c r="M87" i="35" s="1"/>
  <c r="M86" i="35" s="1"/>
  <c r="K85" i="35"/>
  <c r="O85" i="35" s="1"/>
  <c r="P84" i="35"/>
  <c r="K84" i="35"/>
  <c r="O84" i="35" s="1"/>
  <c r="J83" i="35"/>
  <c r="I83" i="35"/>
  <c r="P82" i="35"/>
  <c r="L82" i="35"/>
  <c r="K82" i="35"/>
  <c r="O82" i="35" s="1"/>
  <c r="P81" i="35"/>
  <c r="N81" i="35"/>
  <c r="M81" i="35"/>
  <c r="L81" i="35"/>
  <c r="K81" i="35"/>
  <c r="O81" i="35" s="1"/>
  <c r="P80" i="35"/>
  <c r="N80" i="35"/>
  <c r="M80" i="35"/>
  <c r="L80" i="35"/>
  <c r="K80" i="35"/>
  <c r="J79" i="35"/>
  <c r="I79" i="35"/>
  <c r="N74" i="35"/>
  <c r="M74" i="35"/>
  <c r="L74" i="35"/>
  <c r="N73" i="35"/>
  <c r="N72" i="35" s="1"/>
  <c r="M73" i="35"/>
  <c r="M72" i="35" s="1"/>
  <c r="L73" i="35"/>
  <c r="P70" i="35"/>
  <c r="N70" i="35"/>
  <c r="M70" i="35"/>
  <c r="L70" i="35"/>
  <c r="K70" i="35"/>
  <c r="O70" i="35" s="1"/>
  <c r="J69" i="35"/>
  <c r="I69" i="35"/>
  <c r="P68" i="35"/>
  <c r="K68" i="35"/>
  <c r="O68" i="35" s="1"/>
  <c r="M67" i="35"/>
  <c r="K67" i="35"/>
  <c r="O67" i="35" s="1"/>
  <c r="P66" i="35"/>
  <c r="K66" i="35"/>
  <c r="O66" i="35" s="1"/>
  <c r="P65" i="35"/>
  <c r="K65" i="35"/>
  <c r="O65" i="35" s="1"/>
  <c r="P64" i="35"/>
  <c r="N64" i="35"/>
  <c r="N61" i="35" s="1"/>
  <c r="M64" i="35"/>
  <c r="M61" i="35" s="1"/>
  <c r="L64" i="35"/>
  <c r="L61" i="35" s="1"/>
  <c r="K64" i="35"/>
  <c r="O64" i="35" s="1"/>
  <c r="P60" i="35"/>
  <c r="L60" i="35"/>
  <c r="L59" i="35" s="1"/>
  <c r="K60" i="35"/>
  <c r="O60" i="35" s="1"/>
  <c r="N59" i="35"/>
  <c r="M59" i="35"/>
  <c r="J59" i="35"/>
  <c r="I59" i="35"/>
  <c r="P58" i="35"/>
  <c r="K58" i="35"/>
  <c r="P57" i="35"/>
  <c r="K57" i="35"/>
  <c r="O57" i="35" s="1"/>
  <c r="J56" i="35"/>
  <c r="I56" i="35"/>
  <c r="P55" i="35"/>
  <c r="K55" i="35"/>
  <c r="O55" i="35" s="1"/>
  <c r="P54" i="35"/>
  <c r="K54" i="35"/>
  <c r="O54" i="35" s="1"/>
  <c r="J53" i="35"/>
  <c r="I53" i="35"/>
  <c r="P52" i="35"/>
  <c r="K52" i="35"/>
  <c r="O52" i="35" s="1"/>
  <c r="P51" i="35"/>
  <c r="K51" i="35"/>
  <c r="J50" i="35"/>
  <c r="I50" i="35"/>
  <c r="P49" i="35"/>
  <c r="P48" i="35" s="1"/>
  <c r="K49" i="35"/>
  <c r="K48" i="35" s="1"/>
  <c r="J48" i="35"/>
  <c r="I48" i="35"/>
  <c r="P47" i="35"/>
  <c r="N47" i="35"/>
  <c r="N46" i="35" s="1"/>
  <c r="M47" i="35"/>
  <c r="M48" i="35" s="1"/>
  <c r="L47" i="35"/>
  <c r="L48" i="35" s="1"/>
  <c r="K47" i="35"/>
  <c r="O47" i="35" s="1"/>
  <c r="O46" i="35" s="1"/>
  <c r="L46" i="35"/>
  <c r="L45" i="35" s="1"/>
  <c r="K46" i="35"/>
  <c r="J46" i="35"/>
  <c r="I46" i="35"/>
  <c r="P45" i="35"/>
  <c r="K45" i="35"/>
  <c r="O45" i="35" s="1"/>
  <c r="P44" i="35"/>
  <c r="K44" i="35"/>
  <c r="O44" i="35" s="1"/>
  <c r="P43" i="35"/>
  <c r="K43" i="35"/>
  <c r="P42" i="35"/>
  <c r="K42" i="35"/>
  <c r="O42" i="35" s="1"/>
  <c r="J41" i="35"/>
  <c r="I41" i="35"/>
  <c r="P40" i="35"/>
  <c r="L40" i="35"/>
  <c r="L34" i="35" s="1"/>
  <c r="K40" i="35"/>
  <c r="O40" i="35" s="1"/>
  <c r="P39" i="35"/>
  <c r="K39" i="35"/>
  <c r="O39" i="35" s="1"/>
  <c r="P38" i="35"/>
  <c r="M38" i="35"/>
  <c r="K38" i="35"/>
  <c r="O38" i="35" s="1"/>
  <c r="P37" i="35"/>
  <c r="M37" i="35"/>
  <c r="K37" i="35"/>
  <c r="O37" i="35" s="1"/>
  <c r="P36" i="35"/>
  <c r="K36" i="35"/>
  <c r="O36" i="35" s="1"/>
  <c r="P35" i="35"/>
  <c r="K35" i="35"/>
  <c r="O35" i="35" s="1"/>
  <c r="P34" i="35"/>
  <c r="N34" i="35"/>
  <c r="N32" i="35" s="1"/>
  <c r="K34" i="35"/>
  <c r="O34" i="35" s="1"/>
  <c r="P33" i="35"/>
  <c r="L33" i="35"/>
  <c r="K33" i="35"/>
  <c r="O33" i="35" s="1"/>
  <c r="J32" i="35"/>
  <c r="I32" i="35"/>
  <c r="P31" i="35"/>
  <c r="K31" i="35"/>
  <c r="O31" i="35" s="1"/>
  <c r="P30" i="35"/>
  <c r="M30" i="35"/>
  <c r="K30" i="35"/>
  <c r="O30" i="35" s="1"/>
  <c r="P29" i="35"/>
  <c r="M29" i="35"/>
  <c r="K29" i="35"/>
  <c r="O29" i="35" s="1"/>
  <c r="P28" i="35"/>
  <c r="L28" i="35"/>
  <c r="K28" i="35"/>
  <c r="O28" i="35" s="1"/>
  <c r="L27" i="35"/>
  <c r="L26" i="35"/>
  <c r="P25" i="35"/>
  <c r="L25" i="35"/>
  <c r="K25" i="35"/>
  <c r="O25" i="35" s="1"/>
  <c r="P24" i="35"/>
  <c r="L24" i="35"/>
  <c r="K24" i="35"/>
  <c r="O24" i="35" s="1"/>
  <c r="P23" i="35"/>
  <c r="L23" i="35"/>
  <c r="K23" i="35"/>
  <c r="O23" i="35" s="1"/>
  <c r="N22" i="35"/>
  <c r="M22" i="35"/>
  <c r="J22" i="35"/>
  <c r="P21" i="35"/>
  <c r="K21" i="35"/>
  <c r="O21" i="35" s="1"/>
  <c r="P20" i="35"/>
  <c r="K20" i="35"/>
  <c r="O20" i="35" s="1"/>
  <c r="P19" i="35"/>
  <c r="K19" i="35"/>
  <c r="O19" i="35" s="1"/>
  <c r="N18" i="35"/>
  <c r="M18" i="35"/>
  <c r="L18" i="35"/>
  <c r="J18" i="35"/>
  <c r="I18" i="35"/>
  <c r="P17" i="35"/>
  <c r="K17" i="35"/>
  <c r="O17" i="35" s="1"/>
  <c r="P16" i="35"/>
  <c r="K16" i="35"/>
  <c r="O16" i="35" s="1"/>
  <c r="J15" i="35"/>
  <c r="N11" i="35"/>
  <c r="M11" i="35"/>
  <c r="N10" i="35"/>
  <c r="M10" i="35"/>
  <c r="J85" i="34"/>
  <c r="J26" i="34"/>
  <c r="I26" i="34"/>
  <c r="J163" i="36" l="1"/>
  <c r="I78" i="35"/>
  <c r="L79" i="35"/>
  <c r="L78" i="35" s="1"/>
  <c r="N151" i="35"/>
  <c r="P107" i="36"/>
  <c r="O6" i="38"/>
  <c r="P6" i="38"/>
  <c r="O74" i="38"/>
  <c r="P74" i="38"/>
  <c r="O151" i="37"/>
  <c r="K6" i="37"/>
  <c r="P75" i="37"/>
  <c r="J74" i="37"/>
  <c r="O75" i="37"/>
  <c r="O74" i="37" s="1"/>
  <c r="O73" i="37" s="1"/>
  <c r="I8" i="37"/>
  <c r="J9" i="37"/>
  <c r="O9" i="37" s="1"/>
  <c r="P10" i="37"/>
  <c r="L22" i="35"/>
  <c r="L21" i="35" s="1"/>
  <c r="L32" i="35"/>
  <c r="I108" i="35"/>
  <c r="K174" i="35"/>
  <c r="O174" i="35" s="1"/>
  <c r="P177" i="35"/>
  <c r="L15" i="36"/>
  <c r="L14" i="36" s="1"/>
  <c r="L13" i="36" s="1"/>
  <c r="L12" i="36" s="1"/>
  <c r="L11" i="36" s="1"/>
  <c r="L10" i="36" s="1"/>
  <c r="L9" i="36" s="1"/>
  <c r="L8" i="36" s="1"/>
  <c r="L6" i="36" s="1"/>
  <c r="P108" i="36"/>
  <c r="K61" i="36"/>
  <c r="O61" i="36" s="1"/>
  <c r="P163" i="36"/>
  <c r="K163" i="36"/>
  <c r="O163" i="36" s="1"/>
  <c r="P152" i="36"/>
  <c r="J151" i="36"/>
  <c r="K108" i="36"/>
  <c r="O108" i="36" s="1"/>
  <c r="K78" i="36"/>
  <c r="K77" i="36" s="1"/>
  <c r="K76" i="36" s="1"/>
  <c r="K75" i="36" s="1"/>
  <c r="K74" i="36" s="1"/>
  <c r="K73" i="36" s="1"/>
  <c r="K72" i="36" s="1"/>
  <c r="P13" i="36"/>
  <c r="O14" i="36"/>
  <c r="K14" i="36"/>
  <c r="K13" i="36" s="1"/>
  <c r="O13" i="36" s="1"/>
  <c r="N16" i="36"/>
  <c r="N15" i="36" s="1"/>
  <c r="N14" i="36" s="1"/>
  <c r="N13" i="36" s="1"/>
  <c r="P78" i="36"/>
  <c r="J77" i="36"/>
  <c r="I76" i="36"/>
  <c r="P12" i="36"/>
  <c r="J11" i="36"/>
  <c r="I11" i="36"/>
  <c r="O87" i="36"/>
  <c r="O86" i="36" s="1"/>
  <c r="K107" i="36"/>
  <c r="O107" i="36" s="1"/>
  <c r="O152" i="36"/>
  <c r="M151" i="35"/>
  <c r="K62" i="35"/>
  <c r="O62" i="35" s="1"/>
  <c r="P62" i="35"/>
  <c r="I22" i="35"/>
  <c r="K26" i="35"/>
  <c r="K22" i="35" s="1"/>
  <c r="P50" i="35"/>
  <c r="K53" i="35"/>
  <c r="K56" i="35"/>
  <c r="P61" i="35"/>
  <c r="I77" i="35"/>
  <c r="O18" i="35"/>
  <c r="I14" i="35"/>
  <c r="O88" i="35"/>
  <c r="P32" i="35"/>
  <c r="M34" i="35"/>
  <c r="M32" i="35" s="1"/>
  <c r="P46" i="35"/>
  <c r="M79" i="35"/>
  <c r="M78" i="35" s="1"/>
  <c r="M77" i="35" s="1"/>
  <c r="P88" i="35"/>
  <c r="P94" i="35"/>
  <c r="K97" i="35"/>
  <c r="K100" i="35"/>
  <c r="O100" i="35" s="1"/>
  <c r="K103" i="35"/>
  <c r="O103" i="35" s="1"/>
  <c r="P116" i="35"/>
  <c r="P141" i="35"/>
  <c r="K143" i="35"/>
  <c r="O143" i="35" s="1"/>
  <c r="P155" i="35"/>
  <c r="P159" i="35"/>
  <c r="P165" i="35"/>
  <c r="P169" i="35"/>
  <c r="P184" i="35"/>
  <c r="K27" i="35"/>
  <c r="O27" i="35" s="1"/>
  <c r="O89" i="35"/>
  <c r="L72" i="35"/>
  <c r="O105" i="35"/>
  <c r="P157" i="35"/>
  <c r="I13" i="35"/>
  <c r="P18" i="35"/>
  <c r="O49" i="35"/>
  <c r="P53" i="35"/>
  <c r="O56" i="35"/>
  <c r="P59" i="35"/>
  <c r="P69" i="35"/>
  <c r="N79" i="35"/>
  <c r="N78" i="35" s="1"/>
  <c r="N77" i="35" s="1"/>
  <c r="K83" i="35"/>
  <c r="J86" i="35"/>
  <c r="K87" i="35"/>
  <c r="O87" i="35" s="1"/>
  <c r="O86" i="35" s="1"/>
  <c r="L77" i="35"/>
  <c r="O92" i="35"/>
  <c r="P103" i="35"/>
  <c r="P109" i="35"/>
  <c r="P111" i="35"/>
  <c r="P129" i="35"/>
  <c r="K132" i="35"/>
  <c r="O132" i="35" s="1"/>
  <c r="K134" i="35"/>
  <c r="O134" i="35" s="1"/>
  <c r="O136" i="35"/>
  <c r="P139" i="35"/>
  <c r="K139" i="35"/>
  <c r="P153" i="35"/>
  <c r="L151" i="35"/>
  <c r="P167" i="35"/>
  <c r="K180" i="35"/>
  <c r="O180" i="35" s="1"/>
  <c r="K18" i="35"/>
  <c r="O53" i="35"/>
  <c r="J164" i="35"/>
  <c r="K164" i="35" s="1"/>
  <c r="O164" i="35" s="1"/>
  <c r="J152" i="35"/>
  <c r="K152" i="35" s="1"/>
  <c r="K141" i="35"/>
  <c r="O141" i="35" s="1"/>
  <c r="K122" i="35"/>
  <c r="O122" i="35" s="1"/>
  <c r="P122" i="35"/>
  <c r="P119" i="35"/>
  <c r="K116" i="35"/>
  <c r="P113" i="35"/>
  <c r="K113" i="35"/>
  <c r="K109" i="35"/>
  <c r="O109" i="35" s="1"/>
  <c r="K111" i="35"/>
  <c r="O111" i="35" s="1"/>
  <c r="P91" i="35"/>
  <c r="K79" i="35"/>
  <c r="O79" i="35" s="1"/>
  <c r="J78" i="35"/>
  <c r="P78" i="35" s="1"/>
  <c r="K50" i="35"/>
  <c r="O50" i="35" s="1"/>
  <c r="O51" i="35"/>
  <c r="O48" i="35"/>
  <c r="K41" i="35"/>
  <c r="O41" i="35" s="1"/>
  <c r="O32" i="35"/>
  <c r="P22" i="35"/>
  <c r="J14" i="35"/>
  <c r="J13" i="35" s="1"/>
  <c r="J12" i="35" s="1"/>
  <c r="O15" i="35"/>
  <c r="L16" i="35"/>
  <c r="M16" i="35" s="1"/>
  <c r="M15" i="35" s="1"/>
  <c r="M14" i="35" s="1"/>
  <c r="K15" i="35"/>
  <c r="P15" i="35"/>
  <c r="O97" i="35"/>
  <c r="I107" i="35"/>
  <c r="I12" i="35"/>
  <c r="M46" i="35"/>
  <c r="M9" i="35" s="1"/>
  <c r="M8" i="35" s="1"/>
  <c r="M6" i="35" s="1"/>
  <c r="O58" i="35"/>
  <c r="K59" i="35"/>
  <c r="O59" i="35" s="1"/>
  <c r="K69" i="35"/>
  <c r="O69" i="35" s="1"/>
  <c r="O91" i="35"/>
  <c r="O99" i="35"/>
  <c r="O137" i="35"/>
  <c r="O139" i="35"/>
  <c r="O145" i="35"/>
  <c r="K146" i="35"/>
  <c r="O146" i="35" s="1"/>
  <c r="K148" i="35"/>
  <c r="O148" i="35" s="1"/>
  <c r="K153" i="35"/>
  <c r="O153" i="35" s="1"/>
  <c r="K157" i="35"/>
  <c r="O157" i="35" s="1"/>
  <c r="K167" i="35"/>
  <c r="O167" i="35" s="1"/>
  <c r="O182" i="35"/>
  <c r="K184" i="35"/>
  <c r="O184" i="35" s="1"/>
  <c r="O26" i="35"/>
  <c r="O22" i="35" s="1"/>
  <c r="N48" i="35"/>
  <c r="N9" i="35" s="1"/>
  <c r="N8" i="35" s="1"/>
  <c r="N6" i="35" s="1"/>
  <c r="P56" i="35"/>
  <c r="O80" i="35"/>
  <c r="P83" i="35"/>
  <c r="P97" i="35"/>
  <c r="P132" i="35"/>
  <c r="P134" i="35"/>
  <c r="P143" i="35"/>
  <c r="P174" i="35"/>
  <c r="P180" i="35"/>
  <c r="P41" i="35"/>
  <c r="K32" i="35"/>
  <c r="I76" i="35"/>
  <c r="P79" i="35"/>
  <c r="O83" i="35"/>
  <c r="K94" i="35"/>
  <c r="O94" i="35" s="1"/>
  <c r="P100" i="35"/>
  <c r="J108" i="35"/>
  <c r="K129" i="35"/>
  <c r="O129" i="35" s="1"/>
  <c r="P136" i="35"/>
  <c r="P146" i="35"/>
  <c r="P148" i="35"/>
  <c r="I151" i="35"/>
  <c r="K155" i="35"/>
  <c r="O155" i="35" s="1"/>
  <c r="K159" i="35"/>
  <c r="O159" i="35" s="1"/>
  <c r="K165" i="35"/>
  <c r="O165" i="35" s="1"/>
  <c r="K169" i="35"/>
  <c r="O169" i="35" s="1"/>
  <c r="K177" i="35"/>
  <c r="O177" i="35" s="1"/>
  <c r="P183" i="34"/>
  <c r="K183" i="34"/>
  <c r="O183" i="34" s="1"/>
  <c r="N182" i="34"/>
  <c r="M182" i="34"/>
  <c r="L182" i="34"/>
  <c r="J182" i="34"/>
  <c r="I182" i="34"/>
  <c r="P180" i="34"/>
  <c r="K180" i="34"/>
  <c r="O180" i="34" s="1"/>
  <c r="P179" i="34"/>
  <c r="K179" i="34"/>
  <c r="O179" i="34" s="1"/>
  <c r="J178" i="34"/>
  <c r="I178" i="34"/>
  <c r="P177" i="34"/>
  <c r="K177" i="34"/>
  <c r="O177" i="34" s="1"/>
  <c r="P176" i="34"/>
  <c r="K176" i="34"/>
  <c r="O176" i="34" s="1"/>
  <c r="J175" i="34"/>
  <c r="I175" i="34"/>
  <c r="P174" i="34"/>
  <c r="K174" i="34"/>
  <c r="O174" i="34" s="1"/>
  <c r="K173" i="34"/>
  <c r="J172" i="34"/>
  <c r="I172" i="34"/>
  <c r="P171" i="34"/>
  <c r="K171" i="34"/>
  <c r="O171" i="34" s="1"/>
  <c r="P170" i="34"/>
  <c r="L170" i="34"/>
  <c r="K170" i="34"/>
  <c r="O170" i="34" s="1"/>
  <c r="K169" i="34"/>
  <c r="K168" i="34"/>
  <c r="L167" i="34"/>
  <c r="J167" i="34"/>
  <c r="I167" i="34"/>
  <c r="P166" i="34"/>
  <c r="L166" i="34"/>
  <c r="K166" i="34"/>
  <c r="O166" i="34" s="1"/>
  <c r="L165" i="34"/>
  <c r="J165" i="34"/>
  <c r="I165" i="34"/>
  <c r="P164" i="34"/>
  <c r="L164" i="34"/>
  <c r="K164" i="34"/>
  <c r="O164" i="34" s="1"/>
  <c r="L163" i="34"/>
  <c r="J163" i="34"/>
  <c r="P163" i="34" s="1"/>
  <c r="I163" i="34"/>
  <c r="N162" i="34"/>
  <c r="M162" i="34"/>
  <c r="L162" i="34"/>
  <c r="I162" i="34"/>
  <c r="N161" i="34"/>
  <c r="M161" i="34"/>
  <c r="L161" i="34"/>
  <c r="I161" i="34"/>
  <c r="P159" i="34"/>
  <c r="K159" i="34"/>
  <c r="O159" i="34" s="1"/>
  <c r="J157" i="34"/>
  <c r="I157" i="34"/>
  <c r="P156" i="34"/>
  <c r="L156" i="34"/>
  <c r="K156" i="34"/>
  <c r="O156" i="34" s="1"/>
  <c r="L155" i="34"/>
  <c r="J155" i="34"/>
  <c r="P155" i="34" s="1"/>
  <c r="I155" i="34"/>
  <c r="P154" i="34"/>
  <c r="L154" i="34"/>
  <c r="K154" i="34"/>
  <c r="O154" i="34" s="1"/>
  <c r="L153" i="34"/>
  <c r="J153" i="34"/>
  <c r="P153" i="34" s="1"/>
  <c r="I153" i="34"/>
  <c r="P152" i="34"/>
  <c r="L152" i="34"/>
  <c r="K152" i="34"/>
  <c r="O152" i="34" s="1"/>
  <c r="L151" i="34"/>
  <c r="J151" i="34"/>
  <c r="P151" i="34" s="1"/>
  <c r="I151" i="34"/>
  <c r="N150" i="34"/>
  <c r="M150" i="34"/>
  <c r="L150" i="34"/>
  <c r="I150" i="34"/>
  <c r="N149" i="34"/>
  <c r="M149" i="34"/>
  <c r="L149" i="34"/>
  <c r="P147" i="34"/>
  <c r="K147" i="34"/>
  <c r="O147" i="34" s="1"/>
  <c r="J146" i="34"/>
  <c r="I146" i="34"/>
  <c r="P145" i="34"/>
  <c r="K145" i="34"/>
  <c r="O145" i="34" s="1"/>
  <c r="J144" i="34"/>
  <c r="I144" i="34"/>
  <c r="P143" i="34"/>
  <c r="K143" i="34"/>
  <c r="O143" i="34" s="1"/>
  <c r="P142" i="34"/>
  <c r="K142" i="34"/>
  <c r="O142" i="34" s="1"/>
  <c r="J141" i="34"/>
  <c r="I141" i="34"/>
  <c r="P140" i="34"/>
  <c r="L140" i="34"/>
  <c r="K140" i="34"/>
  <c r="O140" i="34" s="1"/>
  <c r="L139" i="34"/>
  <c r="J139" i="34"/>
  <c r="I139" i="34"/>
  <c r="P138" i="34"/>
  <c r="K138" i="34"/>
  <c r="O138" i="34" s="1"/>
  <c r="J137" i="34"/>
  <c r="I137" i="34"/>
  <c r="P136" i="34"/>
  <c r="K136" i="34"/>
  <c r="O136" i="34" s="1"/>
  <c r="P135" i="34"/>
  <c r="K135" i="34"/>
  <c r="O135" i="34" s="1"/>
  <c r="N134" i="34"/>
  <c r="M134" i="34"/>
  <c r="L134" i="34"/>
  <c r="K134" i="34"/>
  <c r="J134" i="34"/>
  <c r="I134" i="34"/>
  <c r="P133" i="34"/>
  <c r="K133" i="34"/>
  <c r="O133" i="34" s="1"/>
  <c r="J132" i="34"/>
  <c r="I132" i="34"/>
  <c r="P131" i="34"/>
  <c r="K131" i="34"/>
  <c r="O131" i="34" s="1"/>
  <c r="J130" i="34"/>
  <c r="I130" i="34"/>
  <c r="P129" i="34"/>
  <c r="K129" i="34"/>
  <c r="O129" i="34" s="1"/>
  <c r="P128" i="34"/>
  <c r="K128" i="34"/>
  <c r="O128" i="34" s="1"/>
  <c r="J127" i="34"/>
  <c r="I127" i="34"/>
  <c r="P126" i="34"/>
  <c r="K126" i="34"/>
  <c r="O126" i="34" s="1"/>
  <c r="K125" i="34"/>
  <c r="O125" i="34" s="1"/>
  <c r="K124" i="34"/>
  <c r="O124" i="34" s="1"/>
  <c r="K123" i="34"/>
  <c r="O123" i="34" s="1"/>
  <c r="P122" i="34"/>
  <c r="K122" i="34"/>
  <c r="O122" i="34" s="1"/>
  <c r="P121" i="34"/>
  <c r="K121" i="34"/>
  <c r="O121" i="34" s="1"/>
  <c r="N120" i="34"/>
  <c r="M120" i="34"/>
  <c r="L120" i="34"/>
  <c r="J120" i="34"/>
  <c r="I120" i="34"/>
  <c r="P119" i="34"/>
  <c r="K119" i="34"/>
  <c r="O119" i="34" s="1"/>
  <c r="O118" i="34" s="1"/>
  <c r="P118" i="34"/>
  <c r="K118" i="34"/>
  <c r="K117" i="34" s="1"/>
  <c r="J117" i="34"/>
  <c r="I117" i="34"/>
  <c r="P116" i="34"/>
  <c r="K116" i="34"/>
  <c r="O116" i="34" s="1"/>
  <c r="O115" i="34" s="1"/>
  <c r="P115" i="34"/>
  <c r="K115" i="34"/>
  <c r="K114" i="34" s="1"/>
  <c r="J114" i="34"/>
  <c r="I114" i="34"/>
  <c r="P113" i="34"/>
  <c r="K113" i="34"/>
  <c r="O113" i="34" s="1"/>
  <c r="O112" i="34" s="1"/>
  <c r="P112" i="34"/>
  <c r="K112" i="34"/>
  <c r="K111" i="34" s="1"/>
  <c r="J111" i="34"/>
  <c r="I111" i="34"/>
  <c r="P110" i="34"/>
  <c r="L110" i="34"/>
  <c r="K110" i="34"/>
  <c r="O110" i="34" s="1"/>
  <c r="L109" i="34"/>
  <c r="K109" i="34"/>
  <c r="J109" i="34"/>
  <c r="I109" i="34"/>
  <c r="P108" i="34"/>
  <c r="L108" i="34"/>
  <c r="K108" i="34"/>
  <c r="O108" i="34" s="1"/>
  <c r="L107" i="34"/>
  <c r="K107" i="34"/>
  <c r="J107" i="34"/>
  <c r="I107" i="34"/>
  <c r="L106" i="34"/>
  <c r="N105" i="34"/>
  <c r="M105" i="34"/>
  <c r="L105" i="34"/>
  <c r="P103" i="34"/>
  <c r="L103" i="34"/>
  <c r="K103" i="34"/>
  <c r="O103" i="34" s="1"/>
  <c r="P102" i="34"/>
  <c r="K102" i="34"/>
  <c r="O102" i="34" s="1"/>
  <c r="L101" i="34"/>
  <c r="J101" i="34"/>
  <c r="I101" i="34"/>
  <c r="P100" i="34"/>
  <c r="L100" i="34"/>
  <c r="K100" i="34"/>
  <c r="O100" i="34" s="1"/>
  <c r="K99" i="34"/>
  <c r="J98" i="34"/>
  <c r="I98" i="34"/>
  <c r="P97" i="34"/>
  <c r="K97" i="34"/>
  <c r="O97" i="34" s="1"/>
  <c r="P96" i="34"/>
  <c r="K96" i="34"/>
  <c r="O96" i="34" s="1"/>
  <c r="J95" i="34"/>
  <c r="I95" i="34"/>
  <c r="P94" i="34"/>
  <c r="K94" i="34"/>
  <c r="O94" i="34" s="1"/>
  <c r="P93" i="34"/>
  <c r="K93" i="34"/>
  <c r="O93" i="34" s="1"/>
  <c r="J92" i="34"/>
  <c r="I92" i="34"/>
  <c r="P91" i="34"/>
  <c r="K91" i="34"/>
  <c r="O91" i="34" s="1"/>
  <c r="P90" i="34"/>
  <c r="K90" i="34"/>
  <c r="O90" i="34" s="1"/>
  <c r="J89" i="34"/>
  <c r="I89" i="34"/>
  <c r="P88" i="34"/>
  <c r="L88" i="34"/>
  <c r="L87" i="34" s="1"/>
  <c r="L86" i="34" s="1"/>
  <c r="K88" i="34"/>
  <c r="O88" i="34" s="1"/>
  <c r="P87" i="34"/>
  <c r="K87" i="34"/>
  <c r="O87" i="34" s="1"/>
  <c r="N86" i="34"/>
  <c r="M86" i="34"/>
  <c r="J86" i="34"/>
  <c r="I86" i="34"/>
  <c r="N85" i="34"/>
  <c r="L85" i="34"/>
  <c r="K85" i="34"/>
  <c r="O85" i="34" s="1"/>
  <c r="O84" i="34" s="1"/>
  <c r="P85" i="34"/>
  <c r="P84" i="34" s="1"/>
  <c r="N84" i="34"/>
  <c r="L84" i="34"/>
  <c r="J84" i="34"/>
  <c r="I84" i="34"/>
  <c r="M83" i="34"/>
  <c r="M85" i="34" s="1"/>
  <c r="M84" i="34" s="1"/>
  <c r="K83" i="34"/>
  <c r="O83" i="34" s="1"/>
  <c r="P82" i="34"/>
  <c r="K82" i="34"/>
  <c r="O82" i="34" s="1"/>
  <c r="J81" i="34"/>
  <c r="I81" i="34"/>
  <c r="P80" i="34"/>
  <c r="L80" i="34"/>
  <c r="K80" i="34"/>
  <c r="O80" i="34" s="1"/>
  <c r="P79" i="34"/>
  <c r="N79" i="34"/>
  <c r="N77" i="34" s="1"/>
  <c r="N76" i="34" s="1"/>
  <c r="N75" i="34" s="1"/>
  <c r="M79" i="34"/>
  <c r="L79" i="34"/>
  <c r="L77" i="34" s="1"/>
  <c r="L76" i="34" s="1"/>
  <c r="L75" i="34" s="1"/>
  <c r="K79" i="34"/>
  <c r="O79" i="34" s="1"/>
  <c r="P78" i="34"/>
  <c r="N78" i="34"/>
  <c r="M78" i="34"/>
  <c r="M77" i="34" s="1"/>
  <c r="L78" i="34"/>
  <c r="K78" i="34"/>
  <c r="O78" i="34" s="1"/>
  <c r="J77" i="34"/>
  <c r="I77" i="34"/>
  <c r="I76" i="34" s="1"/>
  <c r="I75" i="34" s="1"/>
  <c r="N72" i="34"/>
  <c r="M72" i="34"/>
  <c r="L72" i="34"/>
  <c r="N71" i="34"/>
  <c r="N70" i="34" s="1"/>
  <c r="M71" i="34"/>
  <c r="L71" i="34"/>
  <c r="L70" i="34" s="1"/>
  <c r="M70" i="34"/>
  <c r="P68" i="34"/>
  <c r="N68" i="34"/>
  <c r="M68" i="34"/>
  <c r="L68" i="34"/>
  <c r="K68" i="34"/>
  <c r="O68" i="34" s="1"/>
  <c r="J67" i="34"/>
  <c r="I67" i="34"/>
  <c r="P66" i="34"/>
  <c r="L66" i="34"/>
  <c r="K66" i="34"/>
  <c r="O66" i="34" s="1"/>
  <c r="M65" i="34"/>
  <c r="K65" i="34"/>
  <c r="O65" i="34" s="1"/>
  <c r="P64" i="34"/>
  <c r="K64" i="34"/>
  <c r="O64" i="34" s="1"/>
  <c r="P63" i="34"/>
  <c r="K63" i="34"/>
  <c r="O63" i="34" s="1"/>
  <c r="P62" i="34"/>
  <c r="N62" i="34"/>
  <c r="M62" i="34"/>
  <c r="L62" i="34"/>
  <c r="K62" i="34"/>
  <c r="O62" i="34" s="1"/>
  <c r="J61" i="34"/>
  <c r="I61" i="34"/>
  <c r="P60" i="34"/>
  <c r="L60" i="34"/>
  <c r="K60" i="34"/>
  <c r="O60" i="34" s="1"/>
  <c r="N59" i="34"/>
  <c r="M59" i="34"/>
  <c r="L59" i="34"/>
  <c r="K59" i="34"/>
  <c r="J59" i="34"/>
  <c r="I59" i="34"/>
  <c r="P58" i="34"/>
  <c r="K58" i="34"/>
  <c r="O58" i="34" s="1"/>
  <c r="P57" i="34"/>
  <c r="K57" i="34"/>
  <c r="O57" i="34" s="1"/>
  <c r="J56" i="34"/>
  <c r="I56" i="34"/>
  <c r="P55" i="34"/>
  <c r="K55" i="34"/>
  <c r="O55" i="34" s="1"/>
  <c r="P54" i="34"/>
  <c r="K54" i="34"/>
  <c r="O54" i="34" s="1"/>
  <c r="J53" i="34"/>
  <c r="I53" i="34"/>
  <c r="P52" i="34"/>
  <c r="K52" i="34"/>
  <c r="O52" i="34" s="1"/>
  <c r="P51" i="34"/>
  <c r="K51" i="34"/>
  <c r="O51" i="34" s="1"/>
  <c r="J50" i="34"/>
  <c r="I50" i="34"/>
  <c r="P49" i="34"/>
  <c r="K49" i="34"/>
  <c r="O49" i="34" s="1"/>
  <c r="P48" i="34"/>
  <c r="K48" i="34"/>
  <c r="J48" i="34"/>
  <c r="I48" i="34"/>
  <c r="P47" i="34"/>
  <c r="N47" i="34"/>
  <c r="N48" i="34" s="1"/>
  <c r="M47" i="34"/>
  <c r="M48" i="34" s="1"/>
  <c r="L47" i="34"/>
  <c r="L48" i="34" s="1"/>
  <c r="K47" i="34"/>
  <c r="O47" i="34" s="1"/>
  <c r="O46" i="34" s="1"/>
  <c r="N46" i="34"/>
  <c r="M46" i="34"/>
  <c r="L46" i="34"/>
  <c r="L45" i="34" s="1"/>
  <c r="K46" i="34"/>
  <c r="J46" i="34"/>
  <c r="I46" i="34"/>
  <c r="P45" i="34"/>
  <c r="K45" i="34"/>
  <c r="O45" i="34" s="1"/>
  <c r="P44" i="34"/>
  <c r="K44" i="34"/>
  <c r="O44" i="34" s="1"/>
  <c r="P43" i="34"/>
  <c r="K43" i="34"/>
  <c r="P42" i="34"/>
  <c r="K42" i="34"/>
  <c r="O42" i="34" s="1"/>
  <c r="J41" i="34"/>
  <c r="I41" i="34"/>
  <c r="P40" i="34"/>
  <c r="L40" i="34"/>
  <c r="K40" i="34"/>
  <c r="O40" i="34" s="1"/>
  <c r="P39" i="34"/>
  <c r="K39" i="34"/>
  <c r="O39" i="34" s="1"/>
  <c r="P38" i="34"/>
  <c r="M38" i="34"/>
  <c r="K38" i="34"/>
  <c r="O38" i="34" s="1"/>
  <c r="P37" i="34"/>
  <c r="M37" i="34"/>
  <c r="K37" i="34"/>
  <c r="O37" i="34" s="1"/>
  <c r="P36" i="34"/>
  <c r="K36" i="34"/>
  <c r="O36" i="34" s="1"/>
  <c r="P35" i="34"/>
  <c r="K35" i="34"/>
  <c r="O35" i="34" s="1"/>
  <c r="P34" i="34"/>
  <c r="N34" i="34"/>
  <c r="N32" i="34" s="1"/>
  <c r="L34" i="34"/>
  <c r="K34" i="34"/>
  <c r="O34" i="34" s="1"/>
  <c r="P33" i="34"/>
  <c r="L33" i="34"/>
  <c r="K33" i="34"/>
  <c r="O33" i="34" s="1"/>
  <c r="J32" i="34"/>
  <c r="I32" i="34"/>
  <c r="P31" i="34"/>
  <c r="K31" i="34"/>
  <c r="O31" i="34" s="1"/>
  <c r="P30" i="34"/>
  <c r="M30" i="34"/>
  <c r="K30" i="34"/>
  <c r="O30" i="34" s="1"/>
  <c r="M29" i="34"/>
  <c r="K29" i="34"/>
  <c r="O29" i="34" s="1"/>
  <c r="P29" i="34"/>
  <c r="P28" i="34"/>
  <c r="L28" i="34"/>
  <c r="K28" i="34"/>
  <c r="O28" i="34" s="1"/>
  <c r="P27" i="34"/>
  <c r="L27" i="34"/>
  <c r="K27" i="34"/>
  <c r="O27" i="34" s="1"/>
  <c r="P26" i="34"/>
  <c r="L26" i="34"/>
  <c r="K26" i="34"/>
  <c r="O26" i="34" s="1"/>
  <c r="P25" i="34"/>
  <c r="L25" i="34"/>
  <c r="K25" i="34"/>
  <c r="O25" i="34" s="1"/>
  <c r="P24" i="34"/>
  <c r="L24" i="34"/>
  <c r="K24" i="34"/>
  <c r="O24" i="34" s="1"/>
  <c r="P23" i="34"/>
  <c r="L23" i="34"/>
  <c r="K23" i="34"/>
  <c r="O23" i="34" s="1"/>
  <c r="N22" i="34"/>
  <c r="M22" i="34"/>
  <c r="J22" i="34"/>
  <c r="I22" i="34"/>
  <c r="P21" i="34"/>
  <c r="K21" i="34"/>
  <c r="O21" i="34" s="1"/>
  <c r="P20" i="34"/>
  <c r="K20" i="34"/>
  <c r="O20" i="34" s="1"/>
  <c r="P19" i="34"/>
  <c r="K19" i="34"/>
  <c r="O19" i="34" s="1"/>
  <c r="O18" i="34" s="1"/>
  <c r="N18" i="34"/>
  <c r="M18" i="34"/>
  <c r="L18" i="34"/>
  <c r="J18" i="34"/>
  <c r="I18" i="34"/>
  <c r="P17" i="34"/>
  <c r="K17" i="34"/>
  <c r="O17" i="34" s="1"/>
  <c r="P16" i="34"/>
  <c r="K16" i="34"/>
  <c r="O16" i="34" s="1"/>
  <c r="O15" i="34" s="1"/>
  <c r="J15" i="34"/>
  <c r="I15" i="34"/>
  <c r="N11" i="34"/>
  <c r="M11" i="34"/>
  <c r="N10" i="34"/>
  <c r="M10" i="34"/>
  <c r="J85" i="33"/>
  <c r="J84" i="33" s="1"/>
  <c r="P183" i="33"/>
  <c r="K183" i="33"/>
  <c r="O183" i="33" s="1"/>
  <c r="N182" i="33"/>
  <c r="M182" i="33"/>
  <c r="L182" i="33"/>
  <c r="J182" i="33"/>
  <c r="I182" i="33"/>
  <c r="P180" i="33"/>
  <c r="K180" i="33"/>
  <c r="O180" i="33" s="1"/>
  <c r="P179" i="33"/>
  <c r="K179" i="33"/>
  <c r="O179" i="33" s="1"/>
  <c r="J178" i="33"/>
  <c r="I178" i="33"/>
  <c r="P177" i="33"/>
  <c r="K177" i="33"/>
  <c r="O177" i="33" s="1"/>
  <c r="P176" i="33"/>
  <c r="K176" i="33"/>
  <c r="O176" i="33" s="1"/>
  <c r="J175" i="33"/>
  <c r="I175" i="33"/>
  <c r="P174" i="33"/>
  <c r="K174" i="33"/>
  <c r="O174" i="33" s="1"/>
  <c r="K173" i="33"/>
  <c r="J172" i="33"/>
  <c r="I172" i="33"/>
  <c r="P171" i="33"/>
  <c r="K171" i="33"/>
  <c r="O171" i="33" s="1"/>
  <c r="P170" i="33"/>
  <c r="L170" i="33"/>
  <c r="K170" i="33"/>
  <c r="O170" i="33" s="1"/>
  <c r="K169" i="33"/>
  <c r="K168" i="33"/>
  <c r="L167" i="33"/>
  <c r="J167" i="33"/>
  <c r="I167" i="33"/>
  <c r="P166" i="33"/>
  <c r="L166" i="33"/>
  <c r="K166" i="33"/>
  <c r="O166" i="33" s="1"/>
  <c r="L165" i="33"/>
  <c r="J165" i="33"/>
  <c r="I165" i="33"/>
  <c r="P164" i="33"/>
  <c r="L164" i="33"/>
  <c r="K164" i="33"/>
  <c r="O164" i="33" s="1"/>
  <c r="L163" i="33"/>
  <c r="L162" i="33" s="1"/>
  <c r="L161" i="33" s="1"/>
  <c r="J163" i="33"/>
  <c r="I163" i="33"/>
  <c r="N162" i="33"/>
  <c r="N161" i="33" s="1"/>
  <c r="M162" i="33"/>
  <c r="I162" i="33"/>
  <c r="I161" i="33" s="1"/>
  <c r="M161" i="33"/>
  <c r="P159" i="33"/>
  <c r="K159" i="33"/>
  <c r="O159" i="33" s="1"/>
  <c r="J157" i="33"/>
  <c r="I157" i="33"/>
  <c r="P156" i="33"/>
  <c r="L156" i="33"/>
  <c r="K156" i="33"/>
  <c r="O156" i="33" s="1"/>
  <c r="L155" i="33"/>
  <c r="J155" i="33"/>
  <c r="I155" i="33"/>
  <c r="P154" i="33"/>
  <c r="L154" i="33"/>
  <c r="K154" i="33"/>
  <c r="O154" i="33" s="1"/>
  <c r="L153" i="33"/>
  <c r="J153" i="33"/>
  <c r="I153" i="33"/>
  <c r="P152" i="33"/>
  <c r="L152" i="33"/>
  <c r="K152" i="33"/>
  <c r="O152" i="33" s="1"/>
  <c r="L151" i="33"/>
  <c r="L150" i="33" s="1"/>
  <c r="L149" i="33" s="1"/>
  <c r="J151" i="33"/>
  <c r="I151" i="33"/>
  <c r="N150" i="33"/>
  <c r="M150" i="33"/>
  <c r="I150" i="33"/>
  <c r="I149" i="33" s="1"/>
  <c r="P147" i="33"/>
  <c r="K147" i="33"/>
  <c r="O147" i="33" s="1"/>
  <c r="J146" i="33"/>
  <c r="I146" i="33"/>
  <c r="P145" i="33"/>
  <c r="K145" i="33"/>
  <c r="O145" i="33" s="1"/>
  <c r="J144" i="33"/>
  <c r="I144" i="33"/>
  <c r="P143" i="33"/>
  <c r="K143" i="33"/>
  <c r="O143" i="33" s="1"/>
  <c r="P142" i="33"/>
  <c r="K142" i="33"/>
  <c r="O142" i="33" s="1"/>
  <c r="J141" i="33"/>
  <c r="I141" i="33"/>
  <c r="P140" i="33"/>
  <c r="L140" i="33"/>
  <c r="K140" i="33"/>
  <c r="O140" i="33" s="1"/>
  <c r="L139" i="33"/>
  <c r="J139" i="33"/>
  <c r="I139" i="33"/>
  <c r="P138" i="33"/>
  <c r="K138" i="33"/>
  <c r="O138" i="33" s="1"/>
  <c r="J137" i="33"/>
  <c r="I137" i="33"/>
  <c r="P136" i="33"/>
  <c r="K136" i="33"/>
  <c r="O136" i="33" s="1"/>
  <c r="P135" i="33"/>
  <c r="K135" i="33"/>
  <c r="O135" i="33" s="1"/>
  <c r="N134" i="33"/>
  <c r="M134" i="33"/>
  <c r="L134" i="33"/>
  <c r="K134" i="33"/>
  <c r="J134" i="33"/>
  <c r="I134" i="33"/>
  <c r="P133" i="33"/>
  <c r="K133" i="33"/>
  <c r="O133" i="33" s="1"/>
  <c r="J132" i="33"/>
  <c r="I132" i="33"/>
  <c r="P131" i="33"/>
  <c r="K131" i="33"/>
  <c r="O131" i="33" s="1"/>
  <c r="J130" i="33"/>
  <c r="I130" i="33"/>
  <c r="P129" i="33"/>
  <c r="K129" i="33"/>
  <c r="O129" i="33" s="1"/>
  <c r="P128" i="33"/>
  <c r="K128" i="33"/>
  <c r="O128" i="33" s="1"/>
  <c r="J127" i="33"/>
  <c r="I127" i="33"/>
  <c r="P126" i="33"/>
  <c r="K126" i="33"/>
  <c r="O126" i="33" s="1"/>
  <c r="K125" i="33"/>
  <c r="O125" i="33" s="1"/>
  <c r="K124" i="33"/>
  <c r="O124" i="33" s="1"/>
  <c r="K123" i="33"/>
  <c r="O123" i="33" s="1"/>
  <c r="P122" i="33"/>
  <c r="K122" i="33"/>
  <c r="O122" i="33" s="1"/>
  <c r="P121" i="33"/>
  <c r="K121" i="33"/>
  <c r="O121" i="33" s="1"/>
  <c r="N120" i="33"/>
  <c r="M120" i="33"/>
  <c r="L120" i="33"/>
  <c r="J120" i="33"/>
  <c r="I120" i="33"/>
  <c r="P119" i="33"/>
  <c r="K119" i="33"/>
  <c r="O119" i="33" s="1"/>
  <c r="O118" i="33" s="1"/>
  <c r="P118" i="33"/>
  <c r="K118" i="33"/>
  <c r="K117" i="33" s="1"/>
  <c r="J117" i="33"/>
  <c r="I117" i="33"/>
  <c r="P116" i="33"/>
  <c r="K116" i="33"/>
  <c r="O116" i="33" s="1"/>
  <c r="O115" i="33" s="1"/>
  <c r="P115" i="33"/>
  <c r="K115" i="33"/>
  <c r="J114" i="33"/>
  <c r="I114" i="33"/>
  <c r="P113" i="33"/>
  <c r="K113" i="33"/>
  <c r="O113" i="33" s="1"/>
  <c r="O112" i="33" s="1"/>
  <c r="P112" i="33"/>
  <c r="K112" i="33"/>
  <c r="J111" i="33"/>
  <c r="I111" i="33"/>
  <c r="P110" i="33"/>
  <c r="L110" i="33"/>
  <c r="K110" i="33"/>
  <c r="O110" i="33" s="1"/>
  <c r="L109" i="33"/>
  <c r="K109" i="33"/>
  <c r="J109" i="33"/>
  <c r="I109" i="33"/>
  <c r="P108" i="33"/>
  <c r="L108" i="33"/>
  <c r="K108" i="33"/>
  <c r="O108" i="33" s="1"/>
  <c r="L107" i="33"/>
  <c r="K107" i="33"/>
  <c r="J107" i="33"/>
  <c r="I107" i="33"/>
  <c r="L106" i="33"/>
  <c r="L105" i="33" s="1"/>
  <c r="N105" i="33"/>
  <c r="M105" i="33"/>
  <c r="P103" i="33"/>
  <c r="L103" i="33"/>
  <c r="K103" i="33"/>
  <c r="O103" i="33" s="1"/>
  <c r="P102" i="33"/>
  <c r="K102" i="33"/>
  <c r="O102" i="33" s="1"/>
  <c r="L101" i="33"/>
  <c r="K101" i="33"/>
  <c r="J101" i="33"/>
  <c r="I101" i="33"/>
  <c r="P100" i="33"/>
  <c r="L100" i="33"/>
  <c r="K100" i="33"/>
  <c r="O100" i="33" s="1"/>
  <c r="K99" i="33"/>
  <c r="J98" i="33"/>
  <c r="I98" i="33"/>
  <c r="P97" i="33"/>
  <c r="K97" i="33"/>
  <c r="O97" i="33" s="1"/>
  <c r="P96" i="33"/>
  <c r="K96" i="33"/>
  <c r="O96" i="33" s="1"/>
  <c r="J95" i="33"/>
  <c r="I95" i="33"/>
  <c r="P94" i="33"/>
  <c r="K94" i="33"/>
  <c r="O94" i="33" s="1"/>
  <c r="P93" i="33"/>
  <c r="K93" i="33"/>
  <c r="O93" i="33" s="1"/>
  <c r="J92" i="33"/>
  <c r="I92" i="33"/>
  <c r="P91" i="33"/>
  <c r="K91" i="33"/>
  <c r="O91" i="33" s="1"/>
  <c r="P90" i="33"/>
  <c r="K90" i="33"/>
  <c r="O90" i="33" s="1"/>
  <c r="J89" i="33"/>
  <c r="I89" i="33"/>
  <c r="P88" i="33"/>
  <c r="L88" i="33"/>
  <c r="L87" i="33" s="1"/>
  <c r="L86" i="33" s="1"/>
  <c r="K88" i="33"/>
  <c r="O88" i="33" s="1"/>
  <c r="P87" i="33"/>
  <c r="K87" i="33"/>
  <c r="O87" i="33" s="1"/>
  <c r="N86" i="33"/>
  <c r="M86" i="33"/>
  <c r="J86" i="33"/>
  <c r="I86" i="33"/>
  <c r="N85" i="33"/>
  <c r="L85" i="33"/>
  <c r="N84" i="33"/>
  <c r="L84" i="33"/>
  <c r="I84" i="33"/>
  <c r="M83" i="33"/>
  <c r="M85" i="33" s="1"/>
  <c r="M84" i="33" s="1"/>
  <c r="K83" i="33"/>
  <c r="O83" i="33" s="1"/>
  <c r="P82" i="33"/>
  <c r="K82" i="33"/>
  <c r="O82" i="33" s="1"/>
  <c r="J81" i="33"/>
  <c r="I81" i="33"/>
  <c r="P80" i="33"/>
  <c r="L80" i="33"/>
  <c r="K80" i="33"/>
  <c r="O80" i="33" s="1"/>
  <c r="P79" i="33"/>
  <c r="N79" i="33"/>
  <c r="M79" i="33"/>
  <c r="L79" i="33"/>
  <c r="K79" i="33"/>
  <c r="O79" i="33" s="1"/>
  <c r="P78" i="33"/>
  <c r="N78" i="33"/>
  <c r="M78" i="33"/>
  <c r="L78" i="33"/>
  <c r="K78" i="33"/>
  <c r="O78" i="33" s="1"/>
  <c r="J77" i="33"/>
  <c r="I77" i="33"/>
  <c r="N72" i="33"/>
  <c r="M72" i="33"/>
  <c r="L72" i="33"/>
  <c r="N71" i="33"/>
  <c r="M71" i="33"/>
  <c r="M70" i="33" s="1"/>
  <c r="L71" i="33"/>
  <c r="N70" i="33"/>
  <c r="P68" i="33"/>
  <c r="N68" i="33"/>
  <c r="M68" i="33"/>
  <c r="L68" i="33"/>
  <c r="K68" i="33"/>
  <c r="O68" i="33" s="1"/>
  <c r="J67" i="33"/>
  <c r="I67" i="33"/>
  <c r="P66" i="33"/>
  <c r="K66" i="33"/>
  <c r="O66" i="33" s="1"/>
  <c r="M65" i="33"/>
  <c r="K65" i="33"/>
  <c r="O65" i="33" s="1"/>
  <c r="P64" i="33"/>
  <c r="K64" i="33"/>
  <c r="O64" i="33" s="1"/>
  <c r="P63" i="33"/>
  <c r="K63" i="33"/>
  <c r="O63" i="33" s="1"/>
  <c r="P62" i="33"/>
  <c r="N62" i="33"/>
  <c r="M62" i="33"/>
  <c r="L62" i="33"/>
  <c r="K62" i="33"/>
  <c r="O62" i="33" s="1"/>
  <c r="J61" i="33"/>
  <c r="I61" i="33"/>
  <c r="P60" i="33"/>
  <c r="L60" i="33"/>
  <c r="K60" i="33"/>
  <c r="O60" i="33" s="1"/>
  <c r="N59" i="33"/>
  <c r="M59" i="33"/>
  <c r="L59" i="33"/>
  <c r="K59" i="33"/>
  <c r="J59" i="33"/>
  <c r="I59" i="33"/>
  <c r="P58" i="33"/>
  <c r="K58" i="33"/>
  <c r="O58" i="33" s="1"/>
  <c r="P57" i="33"/>
  <c r="K57" i="33"/>
  <c r="O57" i="33" s="1"/>
  <c r="J56" i="33"/>
  <c r="I56" i="33"/>
  <c r="P55" i="33"/>
  <c r="K55" i="33"/>
  <c r="O55" i="33" s="1"/>
  <c r="P54" i="33"/>
  <c r="K54" i="33"/>
  <c r="O54" i="33" s="1"/>
  <c r="J53" i="33"/>
  <c r="I53" i="33"/>
  <c r="P52" i="33"/>
  <c r="K52" i="33"/>
  <c r="O52" i="33" s="1"/>
  <c r="P51" i="33"/>
  <c r="K51" i="33"/>
  <c r="O51" i="33" s="1"/>
  <c r="J50" i="33"/>
  <c r="I50" i="33"/>
  <c r="P49" i="33"/>
  <c r="P48" i="33" s="1"/>
  <c r="K49" i="33"/>
  <c r="O49" i="33" s="1"/>
  <c r="J48" i="33"/>
  <c r="I48" i="33"/>
  <c r="P47" i="33"/>
  <c r="N47" i="33"/>
  <c r="N48" i="33" s="1"/>
  <c r="M47" i="33"/>
  <c r="M48" i="33" s="1"/>
  <c r="L47" i="33"/>
  <c r="L48" i="33" s="1"/>
  <c r="K47" i="33"/>
  <c r="O47" i="33" s="1"/>
  <c r="O46" i="33" s="1"/>
  <c r="N46" i="33"/>
  <c r="M46" i="33"/>
  <c r="L46" i="33"/>
  <c r="L45" i="33" s="1"/>
  <c r="K46" i="33"/>
  <c r="J46" i="33"/>
  <c r="I46" i="33"/>
  <c r="P45" i="33"/>
  <c r="K45" i="33"/>
  <c r="O45" i="33" s="1"/>
  <c r="P44" i="33"/>
  <c r="K44" i="33"/>
  <c r="O44" i="33" s="1"/>
  <c r="P43" i="33"/>
  <c r="K43" i="33"/>
  <c r="P42" i="33"/>
  <c r="K42" i="33"/>
  <c r="O42" i="33" s="1"/>
  <c r="J41" i="33"/>
  <c r="P41" i="33" s="1"/>
  <c r="I41" i="33"/>
  <c r="P40" i="33"/>
  <c r="L40" i="33"/>
  <c r="L34" i="33" s="1"/>
  <c r="K40" i="33"/>
  <c r="O40" i="33" s="1"/>
  <c r="P39" i="33"/>
  <c r="K39" i="33"/>
  <c r="O39" i="33" s="1"/>
  <c r="P38" i="33"/>
  <c r="M38" i="33"/>
  <c r="M34" i="33" s="1"/>
  <c r="M32" i="33" s="1"/>
  <c r="K38" i="33"/>
  <c r="O38" i="33" s="1"/>
  <c r="P37" i="33"/>
  <c r="M37" i="33"/>
  <c r="K37" i="33"/>
  <c r="O37" i="33" s="1"/>
  <c r="P36" i="33"/>
  <c r="K36" i="33"/>
  <c r="O36" i="33" s="1"/>
  <c r="P35" i="33"/>
  <c r="K35" i="33"/>
  <c r="O35" i="33" s="1"/>
  <c r="P34" i="33"/>
  <c r="N34" i="33"/>
  <c r="N32" i="33" s="1"/>
  <c r="K34" i="33"/>
  <c r="O34" i="33" s="1"/>
  <c r="P33" i="33"/>
  <c r="L33" i="33"/>
  <c r="K33" i="33"/>
  <c r="O33" i="33" s="1"/>
  <c r="J32" i="33"/>
  <c r="I32" i="33"/>
  <c r="P31" i="33"/>
  <c r="K31" i="33"/>
  <c r="O31" i="33" s="1"/>
  <c r="P30" i="33"/>
  <c r="M30" i="33"/>
  <c r="K30" i="33"/>
  <c r="O30" i="33" s="1"/>
  <c r="M29" i="33"/>
  <c r="I29" i="33"/>
  <c r="P28" i="33"/>
  <c r="L28" i="33"/>
  <c r="K28" i="33"/>
  <c r="O28" i="33" s="1"/>
  <c r="P27" i="33"/>
  <c r="L27" i="33"/>
  <c r="K27" i="33"/>
  <c r="O27" i="33" s="1"/>
  <c r="P26" i="33"/>
  <c r="L26" i="33"/>
  <c r="K26" i="33"/>
  <c r="O26" i="33" s="1"/>
  <c r="P25" i="33"/>
  <c r="L25" i="33"/>
  <c r="K25" i="33"/>
  <c r="O25" i="33" s="1"/>
  <c r="P24" i="33"/>
  <c r="L24" i="33"/>
  <c r="K24" i="33"/>
  <c r="O24" i="33" s="1"/>
  <c r="P23" i="33"/>
  <c r="L23" i="33"/>
  <c r="K23" i="33"/>
  <c r="O23" i="33" s="1"/>
  <c r="N22" i="33"/>
  <c r="M22" i="33"/>
  <c r="K22" i="33"/>
  <c r="J22" i="33"/>
  <c r="I22" i="33"/>
  <c r="P21" i="33"/>
  <c r="K21" i="33"/>
  <c r="O21" i="33" s="1"/>
  <c r="P20" i="33"/>
  <c r="K20" i="33"/>
  <c r="O20" i="33" s="1"/>
  <c r="P19" i="33"/>
  <c r="K19" i="33"/>
  <c r="O19" i="33" s="1"/>
  <c r="N18" i="33"/>
  <c r="M18" i="33"/>
  <c r="L18" i="33"/>
  <c r="J18" i="33"/>
  <c r="I18" i="33"/>
  <c r="P17" i="33"/>
  <c r="K17" i="33"/>
  <c r="O17" i="33" s="1"/>
  <c r="P16" i="33"/>
  <c r="K16" i="33"/>
  <c r="O16" i="33" s="1"/>
  <c r="J15" i="33"/>
  <c r="I15" i="33"/>
  <c r="J14" i="33"/>
  <c r="J13" i="33" s="1"/>
  <c r="J12" i="33" s="1"/>
  <c r="J11" i="33" s="1"/>
  <c r="J10" i="33" s="1"/>
  <c r="N11" i="33"/>
  <c r="M11" i="33"/>
  <c r="N10" i="33"/>
  <c r="M10" i="33"/>
  <c r="M34" i="34" l="1"/>
  <c r="M32" i="34" s="1"/>
  <c r="J76" i="34"/>
  <c r="J75" i="34" s="1"/>
  <c r="J74" i="34" s="1"/>
  <c r="J73" i="34" s="1"/>
  <c r="J72" i="34" s="1"/>
  <c r="J71" i="34" s="1"/>
  <c r="J70" i="34" s="1"/>
  <c r="N149" i="33"/>
  <c r="P22" i="33"/>
  <c r="M77" i="33"/>
  <c r="P89" i="33"/>
  <c r="P92" i="33"/>
  <c r="P95" i="33"/>
  <c r="M149" i="33"/>
  <c r="K172" i="33"/>
  <c r="P182" i="33"/>
  <c r="P15" i="34"/>
  <c r="L22" i="34"/>
  <c r="L21" i="34" s="1"/>
  <c r="L32" i="34"/>
  <c r="P50" i="34"/>
  <c r="J106" i="34"/>
  <c r="L70" i="33"/>
  <c r="I149" i="34"/>
  <c r="L22" i="33"/>
  <c r="L21" i="33" s="1"/>
  <c r="P46" i="33"/>
  <c r="K48" i="33"/>
  <c r="P50" i="33"/>
  <c r="P56" i="33"/>
  <c r="O59" i="33"/>
  <c r="P61" i="33"/>
  <c r="P151" i="33"/>
  <c r="P153" i="33"/>
  <c r="P155" i="33"/>
  <c r="P163" i="33"/>
  <c r="P165" i="33"/>
  <c r="P167" i="33"/>
  <c r="O107" i="34"/>
  <c r="J73" i="37"/>
  <c r="P74" i="37"/>
  <c r="I6" i="37"/>
  <c r="J8" i="37"/>
  <c r="O8" i="37" s="1"/>
  <c r="P9" i="37"/>
  <c r="K61" i="35"/>
  <c r="O61" i="35" s="1"/>
  <c r="P32" i="33"/>
  <c r="L66" i="33"/>
  <c r="K67" i="33"/>
  <c r="O67" i="33" s="1"/>
  <c r="I76" i="33"/>
  <c r="I75" i="33" s="1"/>
  <c r="I74" i="33" s="1"/>
  <c r="I73" i="33" s="1"/>
  <c r="K77" i="33"/>
  <c r="L77" i="33"/>
  <c r="L76" i="33" s="1"/>
  <c r="L75" i="33" s="1"/>
  <c r="N77" i="33"/>
  <c r="N76" i="33" s="1"/>
  <c r="N75" i="33" s="1"/>
  <c r="P81" i="33"/>
  <c r="P86" i="33"/>
  <c r="O101" i="33"/>
  <c r="P107" i="33"/>
  <c r="O109" i="33"/>
  <c r="P111" i="33"/>
  <c r="P117" i="33"/>
  <c r="P134" i="33"/>
  <c r="P137" i="33"/>
  <c r="K137" i="33"/>
  <c r="P141" i="33"/>
  <c r="K141" i="33"/>
  <c r="O172" i="33"/>
  <c r="K15" i="34"/>
  <c r="K32" i="34"/>
  <c r="K53" i="34"/>
  <c r="P56" i="34"/>
  <c r="P59" i="34"/>
  <c r="K61" i="34"/>
  <c r="O61" i="34" s="1"/>
  <c r="P67" i="34"/>
  <c r="P81" i="34"/>
  <c r="P101" i="34"/>
  <c r="I106" i="34"/>
  <c r="P107" i="34"/>
  <c r="O109" i="34"/>
  <c r="P134" i="34"/>
  <c r="P137" i="34"/>
  <c r="K137" i="34"/>
  <c r="K172" i="34"/>
  <c r="P175" i="34"/>
  <c r="P178" i="34"/>
  <c r="P182" i="34"/>
  <c r="P151" i="36"/>
  <c r="K151" i="36"/>
  <c r="O151" i="36" s="1"/>
  <c r="O78" i="36"/>
  <c r="O77" i="36"/>
  <c r="K12" i="36"/>
  <c r="I75" i="36"/>
  <c r="I10" i="36"/>
  <c r="P11" i="36"/>
  <c r="J10" i="36"/>
  <c r="P77" i="36"/>
  <c r="J76" i="36"/>
  <c r="O76" i="36" s="1"/>
  <c r="M13" i="35"/>
  <c r="K86" i="35"/>
  <c r="K78" i="35" s="1"/>
  <c r="K77" i="35" s="1"/>
  <c r="K76" i="35" s="1"/>
  <c r="K75" i="35" s="1"/>
  <c r="K74" i="35" s="1"/>
  <c r="K73" i="35" s="1"/>
  <c r="K72" i="35" s="1"/>
  <c r="P15" i="33"/>
  <c r="I14" i="33"/>
  <c r="I13" i="33" s="1"/>
  <c r="I12" i="33" s="1"/>
  <c r="I11" i="33" s="1"/>
  <c r="I10" i="33" s="1"/>
  <c r="I9" i="33" s="1"/>
  <c r="I8" i="33" s="1"/>
  <c r="N9" i="33"/>
  <c r="N8" i="33" s="1"/>
  <c r="N6" i="33" s="1"/>
  <c r="M76" i="33"/>
  <c r="M75" i="33" s="1"/>
  <c r="P172" i="33"/>
  <c r="P178" i="33"/>
  <c r="I14" i="34"/>
  <c r="I13" i="34" s="1"/>
  <c r="I12" i="34" s="1"/>
  <c r="I11" i="34" s="1"/>
  <c r="I10" i="34" s="1"/>
  <c r="I9" i="34" s="1"/>
  <c r="I8" i="34" s="1"/>
  <c r="P46" i="34"/>
  <c r="N9" i="34"/>
  <c r="N8" i="34" s="1"/>
  <c r="N6" i="34" s="1"/>
  <c r="O48" i="34"/>
  <c r="K50" i="34"/>
  <c r="O50" i="34" s="1"/>
  <c r="P53" i="34"/>
  <c r="O59" i="34"/>
  <c r="P61" i="34"/>
  <c r="K67" i="34"/>
  <c r="O67" i="34" s="1"/>
  <c r="P111" i="34"/>
  <c r="P141" i="34"/>
  <c r="K141" i="34"/>
  <c r="O141" i="34" s="1"/>
  <c r="L32" i="33"/>
  <c r="M9" i="33"/>
  <c r="M8" i="33" s="1"/>
  <c r="M6" i="33" s="1"/>
  <c r="K53" i="33"/>
  <c r="P59" i="33"/>
  <c r="K61" i="33"/>
  <c r="O61" i="33" s="1"/>
  <c r="P67" i="33"/>
  <c r="P77" i="33"/>
  <c r="K81" i="33"/>
  <c r="O81" i="33" s="1"/>
  <c r="K86" i="33"/>
  <c r="O86" i="33" s="1"/>
  <c r="K89" i="33"/>
  <c r="O89" i="33" s="1"/>
  <c r="K95" i="33"/>
  <c r="O95" i="33" s="1"/>
  <c r="P98" i="33"/>
  <c r="P101" i="33"/>
  <c r="I106" i="33"/>
  <c r="I105" i="33" s="1"/>
  <c r="P109" i="33"/>
  <c r="P130" i="33"/>
  <c r="K130" i="33"/>
  <c r="P132" i="33"/>
  <c r="K132" i="33"/>
  <c r="O132" i="33" s="1"/>
  <c r="O134" i="33"/>
  <c r="P139" i="33"/>
  <c r="J150" i="33"/>
  <c r="P150" i="33" s="1"/>
  <c r="P41" i="34"/>
  <c r="M9" i="34"/>
  <c r="M8" i="34" s="1"/>
  <c r="M6" i="34" s="1"/>
  <c r="M76" i="34"/>
  <c r="M75" i="34" s="1"/>
  <c r="P86" i="34"/>
  <c r="P95" i="34"/>
  <c r="K95" i="34"/>
  <c r="P106" i="34"/>
  <c r="P109" i="34"/>
  <c r="P114" i="34"/>
  <c r="P117" i="34"/>
  <c r="P130" i="34"/>
  <c r="K130" i="34"/>
  <c r="P132" i="34"/>
  <c r="K132" i="34"/>
  <c r="O134" i="34"/>
  <c r="P139" i="34"/>
  <c r="P165" i="34"/>
  <c r="P167" i="34"/>
  <c r="P172" i="34"/>
  <c r="P14" i="35"/>
  <c r="O14" i="35"/>
  <c r="P164" i="35"/>
  <c r="J163" i="35"/>
  <c r="P152" i="35"/>
  <c r="K108" i="35"/>
  <c r="K107" i="35" s="1"/>
  <c r="J77" i="35"/>
  <c r="P77" i="35" s="1"/>
  <c r="P13" i="35"/>
  <c r="L15" i="35"/>
  <c r="L14" i="35" s="1"/>
  <c r="L13" i="35" s="1"/>
  <c r="L12" i="35" s="1"/>
  <c r="L11" i="35" s="1"/>
  <c r="L10" i="35" s="1"/>
  <c r="L9" i="35" s="1"/>
  <c r="L8" i="35" s="1"/>
  <c r="L6" i="35" s="1"/>
  <c r="N16" i="35"/>
  <c r="N15" i="35" s="1"/>
  <c r="N14" i="35" s="1"/>
  <c r="N13" i="35" s="1"/>
  <c r="K14" i="35"/>
  <c r="K13" i="35" s="1"/>
  <c r="K12" i="35" s="1"/>
  <c r="K11" i="35" s="1"/>
  <c r="K10" i="35" s="1"/>
  <c r="K9" i="35" s="1"/>
  <c r="K8" i="35" s="1"/>
  <c r="O78" i="35"/>
  <c r="P108" i="35"/>
  <c r="J107" i="35"/>
  <c r="P107" i="35" s="1"/>
  <c r="J11" i="35"/>
  <c r="P12" i="35"/>
  <c r="I11" i="35"/>
  <c r="I75" i="35"/>
  <c r="O152" i="35"/>
  <c r="K178" i="34"/>
  <c r="O178" i="34" s="1"/>
  <c r="J162" i="34"/>
  <c r="K162" i="34" s="1"/>
  <c r="O162" i="34" s="1"/>
  <c r="J150" i="34"/>
  <c r="K120" i="34"/>
  <c r="O120" i="34" s="1"/>
  <c r="I105" i="34"/>
  <c r="P120" i="34"/>
  <c r="J105" i="34"/>
  <c r="P105" i="34" s="1"/>
  <c r="K98" i="34"/>
  <c r="P89" i="34"/>
  <c r="K89" i="34"/>
  <c r="K86" i="34"/>
  <c r="O86" i="34" s="1"/>
  <c r="K77" i="34"/>
  <c r="O77" i="34" s="1"/>
  <c r="P75" i="34"/>
  <c r="P76" i="34"/>
  <c r="P77" i="34"/>
  <c r="O53" i="34"/>
  <c r="K41" i="34"/>
  <c r="O41" i="34" s="1"/>
  <c r="P32" i="34"/>
  <c r="O22" i="34"/>
  <c r="O14" i="34" s="1"/>
  <c r="P22" i="34"/>
  <c r="K22" i="34"/>
  <c r="P18" i="34"/>
  <c r="P14" i="34" s="1"/>
  <c r="O32" i="34"/>
  <c r="O98" i="34"/>
  <c r="J14" i="34"/>
  <c r="J13" i="34" s="1"/>
  <c r="L16" i="34"/>
  <c r="M16" i="34" s="1"/>
  <c r="M15" i="34" s="1"/>
  <c r="M14" i="34" s="1"/>
  <c r="M13" i="34" s="1"/>
  <c r="K18" i="34"/>
  <c r="I74" i="34"/>
  <c r="K84" i="34"/>
  <c r="O89" i="34"/>
  <c r="K92" i="34"/>
  <c r="O92" i="34" s="1"/>
  <c r="P92" i="34"/>
  <c r="O95" i="34"/>
  <c r="P98" i="34"/>
  <c r="K101" i="34"/>
  <c r="O101" i="34" s="1"/>
  <c r="K127" i="34"/>
  <c r="O127" i="34" s="1"/>
  <c r="P127" i="34"/>
  <c r="O130" i="34"/>
  <c r="O132" i="34"/>
  <c r="O137" i="34"/>
  <c r="K144" i="34"/>
  <c r="O144" i="34" s="1"/>
  <c r="P144" i="34"/>
  <c r="K146" i="34"/>
  <c r="K106" i="34" s="1"/>
  <c r="P146" i="34"/>
  <c r="K150" i="34"/>
  <c r="K151" i="34"/>
  <c r="O151" i="34" s="1"/>
  <c r="K153" i="34"/>
  <c r="O153" i="34" s="1"/>
  <c r="K155" i="34"/>
  <c r="O155" i="34" s="1"/>
  <c r="K157" i="34"/>
  <c r="O157" i="34" s="1"/>
  <c r="P157" i="34"/>
  <c r="K163" i="34"/>
  <c r="O163" i="34" s="1"/>
  <c r="K165" i="34"/>
  <c r="O165" i="34" s="1"/>
  <c r="K167" i="34"/>
  <c r="O167" i="34" s="1"/>
  <c r="O172" i="34"/>
  <c r="K175" i="34"/>
  <c r="O175" i="34" s="1"/>
  <c r="K182" i="34"/>
  <c r="O182" i="34" s="1"/>
  <c r="K56" i="34"/>
  <c r="O56" i="34" s="1"/>
  <c r="K81" i="34"/>
  <c r="O81" i="34" s="1"/>
  <c r="K139" i="34"/>
  <c r="O139" i="34" s="1"/>
  <c r="K175" i="33"/>
  <c r="O175" i="33" s="1"/>
  <c r="J162" i="33"/>
  <c r="K120" i="33"/>
  <c r="O120" i="33" s="1"/>
  <c r="P120" i="33"/>
  <c r="K114" i="33"/>
  <c r="P114" i="33"/>
  <c r="K111" i="33"/>
  <c r="J106" i="33"/>
  <c r="O107" i="33"/>
  <c r="K98" i="33"/>
  <c r="O98" i="33" s="1"/>
  <c r="J76" i="33"/>
  <c r="O77" i="33"/>
  <c r="O53" i="33"/>
  <c r="O48" i="33"/>
  <c r="J9" i="33"/>
  <c r="J8" i="33" s="1"/>
  <c r="P8" i="33" s="1"/>
  <c r="K32" i="33"/>
  <c r="O18" i="33"/>
  <c r="P10" i="33"/>
  <c r="P11" i="33"/>
  <c r="P12" i="33"/>
  <c r="P13" i="33"/>
  <c r="K18" i="33"/>
  <c r="P18" i="33"/>
  <c r="O15" i="33"/>
  <c r="K15" i="33"/>
  <c r="L16" i="33"/>
  <c r="L15" i="33" s="1"/>
  <c r="L14" i="33" s="1"/>
  <c r="L13" i="33" s="1"/>
  <c r="L12" i="33" s="1"/>
  <c r="L11" i="33" s="1"/>
  <c r="L10" i="33" s="1"/>
  <c r="L9" i="33" s="1"/>
  <c r="L8" i="33" s="1"/>
  <c r="L6" i="33" s="1"/>
  <c r="O22" i="33"/>
  <c r="O32" i="33"/>
  <c r="P29" i="33"/>
  <c r="P53" i="33"/>
  <c r="P85" i="33"/>
  <c r="P84" i="33" s="1"/>
  <c r="K92" i="33"/>
  <c r="O92" i="33" s="1"/>
  <c r="K127" i="33"/>
  <c r="O127" i="33" s="1"/>
  <c r="P127" i="33"/>
  <c r="O130" i="33"/>
  <c r="O137" i="33"/>
  <c r="O141" i="33"/>
  <c r="K144" i="33"/>
  <c r="O144" i="33" s="1"/>
  <c r="P144" i="33"/>
  <c r="K146" i="33"/>
  <c r="K106" i="33" s="1"/>
  <c r="O106" i="33" s="1"/>
  <c r="P146" i="33"/>
  <c r="K150" i="33"/>
  <c r="O150" i="33" s="1"/>
  <c r="K151" i="33"/>
  <c r="O151" i="33" s="1"/>
  <c r="K153" i="33"/>
  <c r="O153" i="33" s="1"/>
  <c r="K155" i="33"/>
  <c r="O155" i="33" s="1"/>
  <c r="K157" i="33"/>
  <c r="O157" i="33" s="1"/>
  <c r="P157" i="33"/>
  <c r="K162" i="33"/>
  <c r="O162" i="33" s="1"/>
  <c r="K163" i="33"/>
  <c r="O163" i="33" s="1"/>
  <c r="K165" i="33"/>
  <c r="O165" i="33" s="1"/>
  <c r="K167" i="33"/>
  <c r="O167" i="33" s="1"/>
  <c r="P175" i="33"/>
  <c r="K182" i="33"/>
  <c r="O182" i="33" s="1"/>
  <c r="M16" i="33"/>
  <c r="M15" i="33" s="1"/>
  <c r="M14" i="33" s="1"/>
  <c r="M13" i="33" s="1"/>
  <c r="K29" i="33"/>
  <c r="K41" i="33"/>
  <c r="O41" i="33" s="1"/>
  <c r="K50" i="33"/>
  <c r="O50" i="33" s="1"/>
  <c r="K56" i="33"/>
  <c r="O56" i="33" s="1"/>
  <c r="K85" i="33"/>
  <c r="K84" i="33" s="1"/>
  <c r="K76" i="33" s="1"/>
  <c r="K75" i="33" s="1"/>
  <c r="K74" i="33" s="1"/>
  <c r="K73" i="33" s="1"/>
  <c r="K72" i="33" s="1"/>
  <c r="K139" i="33"/>
  <c r="O139" i="33" s="1"/>
  <c r="K178" i="33"/>
  <c r="O178" i="33" s="1"/>
  <c r="J85" i="32"/>
  <c r="P183" i="32"/>
  <c r="K183" i="32"/>
  <c r="O183" i="32" s="1"/>
  <c r="N182" i="32"/>
  <c r="M182" i="32"/>
  <c r="L182" i="32"/>
  <c r="J182" i="32"/>
  <c r="I182" i="32"/>
  <c r="P180" i="32"/>
  <c r="K180" i="32"/>
  <c r="O180" i="32" s="1"/>
  <c r="P179" i="32"/>
  <c r="K179" i="32"/>
  <c r="O179" i="32" s="1"/>
  <c r="J178" i="32"/>
  <c r="I178" i="32"/>
  <c r="P177" i="32"/>
  <c r="K177" i="32"/>
  <c r="O177" i="32" s="1"/>
  <c r="P176" i="32"/>
  <c r="K176" i="32"/>
  <c r="J175" i="32"/>
  <c r="I175" i="32"/>
  <c r="P174" i="32"/>
  <c r="K174" i="32"/>
  <c r="O174" i="32" s="1"/>
  <c r="K173" i="32"/>
  <c r="J172" i="32"/>
  <c r="I172" i="32"/>
  <c r="P171" i="32"/>
  <c r="K171" i="32"/>
  <c r="O171" i="32" s="1"/>
  <c r="P170" i="32"/>
  <c r="L170" i="32"/>
  <c r="L167" i="32" s="1"/>
  <c r="K170" i="32"/>
  <c r="O170" i="32" s="1"/>
  <c r="K169" i="32"/>
  <c r="K168" i="32"/>
  <c r="J167" i="32"/>
  <c r="I167" i="32"/>
  <c r="P166" i="32"/>
  <c r="L166" i="32"/>
  <c r="K166" i="32"/>
  <c r="O166" i="32" s="1"/>
  <c r="L165" i="32"/>
  <c r="J165" i="32"/>
  <c r="P165" i="32" s="1"/>
  <c r="I165" i="32"/>
  <c r="P164" i="32"/>
  <c r="L164" i="32"/>
  <c r="L163" i="32" s="1"/>
  <c r="L162" i="32" s="1"/>
  <c r="L161" i="32" s="1"/>
  <c r="K164" i="32"/>
  <c r="O164" i="32" s="1"/>
  <c r="J163" i="32"/>
  <c r="I163" i="32"/>
  <c r="N162" i="32"/>
  <c r="M162" i="32"/>
  <c r="J162" i="32"/>
  <c r="I162" i="32"/>
  <c r="N161" i="32"/>
  <c r="M161" i="32"/>
  <c r="J161" i="32"/>
  <c r="I161" i="32"/>
  <c r="P159" i="32"/>
  <c r="K159" i="32"/>
  <c r="J157" i="32"/>
  <c r="I157" i="32"/>
  <c r="P156" i="32"/>
  <c r="L156" i="32"/>
  <c r="L155" i="32" s="1"/>
  <c r="K156" i="32"/>
  <c r="O156" i="32" s="1"/>
  <c r="J155" i="32"/>
  <c r="I155" i="32"/>
  <c r="P154" i="32"/>
  <c r="L154" i="32"/>
  <c r="K154" i="32"/>
  <c r="O154" i="32" s="1"/>
  <c r="L153" i="32"/>
  <c r="J153" i="32"/>
  <c r="P153" i="32" s="1"/>
  <c r="I153" i="32"/>
  <c r="P152" i="32"/>
  <c r="L152" i="32"/>
  <c r="L151" i="32" s="1"/>
  <c r="L150" i="32" s="1"/>
  <c r="L149" i="32" s="1"/>
  <c r="K152" i="32"/>
  <c r="O152" i="32" s="1"/>
  <c r="J151" i="32"/>
  <c r="I151" i="32"/>
  <c r="N150" i="32"/>
  <c r="M150" i="32"/>
  <c r="J150" i="32"/>
  <c r="I150" i="32"/>
  <c r="N149" i="32"/>
  <c r="M149" i="32"/>
  <c r="P147" i="32"/>
  <c r="K147" i="32"/>
  <c r="J146" i="32"/>
  <c r="I146" i="32"/>
  <c r="P145" i="32"/>
  <c r="K145" i="32"/>
  <c r="J144" i="32"/>
  <c r="I144" i="32"/>
  <c r="P143" i="32"/>
  <c r="K143" i="32"/>
  <c r="P142" i="32"/>
  <c r="K142" i="32"/>
  <c r="O142" i="32" s="1"/>
  <c r="J141" i="32"/>
  <c r="I141" i="32"/>
  <c r="P140" i="32"/>
  <c r="L140" i="32"/>
  <c r="K140" i="32"/>
  <c r="O140" i="32" s="1"/>
  <c r="L139" i="32"/>
  <c r="J139" i="32"/>
  <c r="I139" i="32"/>
  <c r="P138" i="32"/>
  <c r="K138" i="32"/>
  <c r="O138" i="32" s="1"/>
  <c r="J137" i="32"/>
  <c r="I137" i="32"/>
  <c r="P136" i="32"/>
  <c r="K136" i="32"/>
  <c r="O136" i="32" s="1"/>
  <c r="P135" i="32"/>
  <c r="K135" i="32"/>
  <c r="N134" i="32"/>
  <c r="M134" i="32"/>
  <c r="L134" i="32"/>
  <c r="J134" i="32"/>
  <c r="I134" i="32"/>
  <c r="P133" i="32"/>
  <c r="K133" i="32"/>
  <c r="O133" i="32" s="1"/>
  <c r="J132" i="32"/>
  <c r="I132" i="32"/>
  <c r="P131" i="32"/>
  <c r="K131" i="32"/>
  <c r="O131" i="32" s="1"/>
  <c r="J130" i="32"/>
  <c r="P130" i="32" s="1"/>
  <c r="I130" i="32"/>
  <c r="P129" i="32"/>
  <c r="K129" i="32"/>
  <c r="O129" i="32" s="1"/>
  <c r="P128" i="32"/>
  <c r="K128" i="32"/>
  <c r="J127" i="32"/>
  <c r="I127" i="32"/>
  <c r="P126" i="32"/>
  <c r="K126" i="32"/>
  <c r="O126" i="32" s="1"/>
  <c r="K125" i="32"/>
  <c r="O125" i="32" s="1"/>
  <c r="K124" i="32"/>
  <c r="O124" i="32" s="1"/>
  <c r="K123" i="32"/>
  <c r="O123" i="32" s="1"/>
  <c r="P122" i="32"/>
  <c r="K122" i="32"/>
  <c r="O122" i="32" s="1"/>
  <c r="P121" i="32"/>
  <c r="K121" i="32"/>
  <c r="O121" i="32" s="1"/>
  <c r="N120" i="32"/>
  <c r="M120" i="32"/>
  <c r="M105" i="32" s="1"/>
  <c r="L120" i="32"/>
  <c r="K120" i="32"/>
  <c r="J120" i="32"/>
  <c r="I120" i="32"/>
  <c r="O120" i="32" s="1"/>
  <c r="P119" i="32"/>
  <c r="K119" i="32"/>
  <c r="O119" i="32" s="1"/>
  <c r="O118" i="32" s="1"/>
  <c r="P118" i="32"/>
  <c r="K118" i="32"/>
  <c r="J117" i="32"/>
  <c r="I117" i="32"/>
  <c r="P116" i="32"/>
  <c r="O116" i="32"/>
  <c r="O115" i="32" s="1"/>
  <c r="K116" i="32"/>
  <c r="P115" i="32"/>
  <c r="K115" i="32"/>
  <c r="K114" i="32"/>
  <c r="J114" i="32"/>
  <c r="I114" i="32"/>
  <c r="P113" i="32"/>
  <c r="K113" i="32"/>
  <c r="O113" i="32" s="1"/>
  <c r="O112" i="32" s="1"/>
  <c r="P112" i="32"/>
  <c r="K112" i="32"/>
  <c r="K111" i="32" s="1"/>
  <c r="J111" i="32"/>
  <c r="I111" i="32"/>
  <c r="P110" i="32"/>
  <c r="L110" i="32"/>
  <c r="K110" i="32"/>
  <c r="K109" i="32" s="1"/>
  <c r="L109" i="32"/>
  <c r="J109" i="32"/>
  <c r="I109" i="32"/>
  <c r="P108" i="32"/>
  <c r="L108" i="32"/>
  <c r="K108" i="32"/>
  <c r="O108" i="32" s="1"/>
  <c r="L107" i="32"/>
  <c r="K107" i="32"/>
  <c r="J107" i="32"/>
  <c r="I107" i="32"/>
  <c r="L106" i="32"/>
  <c r="N105" i="32"/>
  <c r="L105" i="32"/>
  <c r="P103" i="32"/>
  <c r="L103" i="32"/>
  <c r="L101" i="32" s="1"/>
  <c r="L66" i="32" s="1"/>
  <c r="K103" i="32"/>
  <c r="P102" i="32"/>
  <c r="K102" i="32"/>
  <c r="O102" i="32" s="1"/>
  <c r="J101" i="32"/>
  <c r="I101" i="32"/>
  <c r="P100" i="32"/>
  <c r="L100" i="32"/>
  <c r="K100" i="32"/>
  <c r="O100" i="32" s="1"/>
  <c r="K99" i="32"/>
  <c r="J98" i="32"/>
  <c r="I98" i="32"/>
  <c r="P97" i="32"/>
  <c r="K97" i="32"/>
  <c r="P96" i="32"/>
  <c r="K96" i="32"/>
  <c r="O96" i="32" s="1"/>
  <c r="J95" i="32"/>
  <c r="I95" i="32"/>
  <c r="P94" i="32"/>
  <c r="K94" i="32"/>
  <c r="O94" i="32" s="1"/>
  <c r="P93" i="32"/>
  <c r="K93" i="32"/>
  <c r="J92" i="32"/>
  <c r="I92" i="32"/>
  <c r="P91" i="32"/>
  <c r="K91" i="32"/>
  <c r="O91" i="32" s="1"/>
  <c r="P90" i="32"/>
  <c r="K90" i="32"/>
  <c r="J89" i="32"/>
  <c r="I89" i="32"/>
  <c r="P88" i="32"/>
  <c r="L88" i="32"/>
  <c r="L87" i="32" s="1"/>
  <c r="L86" i="32" s="1"/>
  <c r="K88" i="32"/>
  <c r="O88" i="32" s="1"/>
  <c r="P87" i="32"/>
  <c r="K87" i="32"/>
  <c r="O87" i="32" s="1"/>
  <c r="N86" i="32"/>
  <c r="M86" i="32"/>
  <c r="J86" i="32"/>
  <c r="I86" i="32"/>
  <c r="P85" i="32"/>
  <c r="N85" i="32"/>
  <c r="L85" i="32"/>
  <c r="K85" i="32"/>
  <c r="O85" i="32" s="1"/>
  <c r="O84" i="32" s="1"/>
  <c r="P84" i="32"/>
  <c r="N84" i="32"/>
  <c r="L84" i="32"/>
  <c r="K84" i="32"/>
  <c r="J84" i="32"/>
  <c r="I84" i="32"/>
  <c r="M83" i="32"/>
  <c r="M85" i="32" s="1"/>
  <c r="M84" i="32" s="1"/>
  <c r="K83" i="32"/>
  <c r="O83" i="32" s="1"/>
  <c r="P82" i="32"/>
  <c r="K82" i="32"/>
  <c r="O82" i="32" s="1"/>
  <c r="J81" i="32"/>
  <c r="I81" i="32"/>
  <c r="P80" i="32"/>
  <c r="L80" i="32"/>
  <c r="K80" i="32"/>
  <c r="O80" i="32" s="1"/>
  <c r="P79" i="32"/>
  <c r="N79" i="32"/>
  <c r="M79" i="32"/>
  <c r="L79" i="32"/>
  <c r="K79" i="32"/>
  <c r="O79" i="32" s="1"/>
  <c r="P78" i="32"/>
  <c r="N78" i="32"/>
  <c r="M78" i="32"/>
  <c r="L78" i="32"/>
  <c r="K78" i="32"/>
  <c r="O78" i="32" s="1"/>
  <c r="J77" i="32"/>
  <c r="I77" i="32"/>
  <c r="N72" i="32"/>
  <c r="M72" i="32"/>
  <c r="L72" i="32"/>
  <c r="N71" i="32"/>
  <c r="N70" i="32" s="1"/>
  <c r="M71" i="32"/>
  <c r="L71" i="32"/>
  <c r="M70" i="32"/>
  <c r="P68" i="32"/>
  <c r="N68" i="32"/>
  <c r="M68" i="32"/>
  <c r="L68" i="32"/>
  <c r="K68" i="32"/>
  <c r="K67" i="32" s="1"/>
  <c r="J67" i="32"/>
  <c r="P67" i="32" s="1"/>
  <c r="I67" i="32"/>
  <c r="P66" i="32"/>
  <c r="K66" i="32"/>
  <c r="O66" i="32" s="1"/>
  <c r="M65" i="32"/>
  <c r="K65" i="32"/>
  <c r="O65" i="32" s="1"/>
  <c r="P64" i="32"/>
  <c r="K64" i="32"/>
  <c r="O64" i="32" s="1"/>
  <c r="P63" i="32"/>
  <c r="K63" i="32"/>
  <c r="O63" i="32" s="1"/>
  <c r="P62" i="32"/>
  <c r="N62" i="32"/>
  <c r="M62" i="32"/>
  <c r="L62" i="32"/>
  <c r="K62" i="32"/>
  <c r="J61" i="32"/>
  <c r="I61" i="32"/>
  <c r="P60" i="32"/>
  <c r="L60" i="32"/>
  <c r="L59" i="32" s="1"/>
  <c r="K60" i="32"/>
  <c r="O60" i="32" s="1"/>
  <c r="N59" i="32"/>
  <c r="M59" i="32"/>
  <c r="J59" i="32"/>
  <c r="I59" i="32"/>
  <c r="P58" i="32"/>
  <c r="K58" i="32"/>
  <c r="O58" i="32" s="1"/>
  <c r="P57" i="32"/>
  <c r="K57" i="32"/>
  <c r="O57" i="32" s="1"/>
  <c r="J56" i="32"/>
  <c r="I56" i="32"/>
  <c r="P55" i="32"/>
  <c r="K55" i="32"/>
  <c r="O55" i="32" s="1"/>
  <c r="P54" i="32"/>
  <c r="K54" i="32"/>
  <c r="J53" i="32"/>
  <c r="I53" i="32"/>
  <c r="P52" i="32"/>
  <c r="K52" i="32"/>
  <c r="O52" i="32" s="1"/>
  <c r="P51" i="32"/>
  <c r="K51" i="32"/>
  <c r="O51" i="32" s="1"/>
  <c r="J50" i="32"/>
  <c r="I50" i="32"/>
  <c r="P49" i="32"/>
  <c r="K49" i="32"/>
  <c r="O49" i="32" s="1"/>
  <c r="P48" i="32"/>
  <c r="K48" i="32"/>
  <c r="J48" i="32"/>
  <c r="I48" i="32"/>
  <c r="P47" i="32"/>
  <c r="N47" i="32"/>
  <c r="N48" i="32" s="1"/>
  <c r="M47" i="32"/>
  <c r="M48" i="32" s="1"/>
  <c r="L47" i="32"/>
  <c r="L48" i="32" s="1"/>
  <c r="K47" i="32"/>
  <c r="O47" i="32" s="1"/>
  <c r="O46" i="32" s="1"/>
  <c r="N46" i="32"/>
  <c r="M46" i="32"/>
  <c r="L46" i="32"/>
  <c r="L45" i="32" s="1"/>
  <c r="K46" i="32"/>
  <c r="J46" i="32"/>
  <c r="I46" i="32"/>
  <c r="P45" i="32"/>
  <c r="K45" i="32"/>
  <c r="O45" i="32" s="1"/>
  <c r="P44" i="32"/>
  <c r="K44" i="32"/>
  <c r="O44" i="32" s="1"/>
  <c r="P43" i="32"/>
  <c r="K43" i="32"/>
  <c r="P42" i="32"/>
  <c r="K42" i="32"/>
  <c r="O42" i="32" s="1"/>
  <c r="J41" i="32"/>
  <c r="I41" i="32"/>
  <c r="P40" i="32"/>
  <c r="L40" i="32"/>
  <c r="K40" i="32"/>
  <c r="P39" i="32"/>
  <c r="K39" i="32"/>
  <c r="O39" i="32" s="1"/>
  <c r="P38" i="32"/>
  <c r="M38" i="32"/>
  <c r="K38" i="32"/>
  <c r="O38" i="32" s="1"/>
  <c r="P37" i="32"/>
  <c r="M37" i="32"/>
  <c r="K37" i="32"/>
  <c r="O37" i="32" s="1"/>
  <c r="P36" i="32"/>
  <c r="K36" i="32"/>
  <c r="O36" i="32" s="1"/>
  <c r="P35" i="32"/>
  <c r="K35" i="32"/>
  <c r="O35" i="32" s="1"/>
  <c r="P34" i="32"/>
  <c r="N34" i="32"/>
  <c r="L34" i="32"/>
  <c r="K34" i="32"/>
  <c r="O34" i="32" s="1"/>
  <c r="P33" i="32"/>
  <c r="L33" i="32"/>
  <c r="K33" i="32"/>
  <c r="O33" i="32" s="1"/>
  <c r="N32" i="32"/>
  <c r="J32" i="32"/>
  <c r="I32" i="32"/>
  <c r="P31" i="32"/>
  <c r="K31" i="32"/>
  <c r="O31" i="32" s="1"/>
  <c r="P30" i="32"/>
  <c r="M30" i="32"/>
  <c r="K30" i="32"/>
  <c r="O30" i="32" s="1"/>
  <c r="M29" i="32"/>
  <c r="I29" i="32"/>
  <c r="P29" i="32" s="1"/>
  <c r="P28" i="32"/>
  <c r="L28" i="32"/>
  <c r="K28" i="32"/>
  <c r="O28" i="32" s="1"/>
  <c r="P27" i="32"/>
  <c r="L27" i="32"/>
  <c r="K27" i="32"/>
  <c r="O27" i="32" s="1"/>
  <c r="P26" i="32"/>
  <c r="L26" i="32"/>
  <c r="K26" i="32"/>
  <c r="O26" i="32" s="1"/>
  <c r="P25" i="32"/>
  <c r="L25" i="32"/>
  <c r="K25" i="32"/>
  <c r="O25" i="32" s="1"/>
  <c r="P24" i="32"/>
  <c r="L24" i="32"/>
  <c r="K24" i="32"/>
  <c r="O24" i="32" s="1"/>
  <c r="P23" i="32"/>
  <c r="L23" i="32"/>
  <c r="K23" i="32"/>
  <c r="O23" i="32" s="1"/>
  <c r="N22" i="32"/>
  <c r="M22" i="32"/>
  <c r="J22" i="32"/>
  <c r="I22" i="32"/>
  <c r="P21" i="32"/>
  <c r="K21" i="32"/>
  <c r="O21" i="32" s="1"/>
  <c r="P20" i="32"/>
  <c r="K20" i="32"/>
  <c r="P19" i="32"/>
  <c r="K19" i="32"/>
  <c r="O19" i="32" s="1"/>
  <c r="N18" i="32"/>
  <c r="M18" i="32"/>
  <c r="L18" i="32"/>
  <c r="J18" i="32"/>
  <c r="I18" i="32"/>
  <c r="P17" i="32"/>
  <c r="K17" i="32"/>
  <c r="O17" i="32" s="1"/>
  <c r="P16" i="32"/>
  <c r="K16" i="32"/>
  <c r="L16" i="32" s="1"/>
  <c r="J15" i="32"/>
  <c r="I15" i="32"/>
  <c r="N11" i="32"/>
  <c r="M11" i="32"/>
  <c r="M10" i="32" s="1"/>
  <c r="N10" i="32"/>
  <c r="P179" i="31"/>
  <c r="P176" i="31"/>
  <c r="I167" i="31"/>
  <c r="M9" i="32" l="1"/>
  <c r="M8" i="32" s="1"/>
  <c r="I14" i="32"/>
  <c r="I13" i="32" s="1"/>
  <c r="I12" i="32" s="1"/>
  <c r="I11" i="32" s="1"/>
  <c r="L22" i="32"/>
  <c r="L21" i="32" s="1"/>
  <c r="N77" i="32"/>
  <c r="K29" i="32"/>
  <c r="O29" i="32" s="1"/>
  <c r="P32" i="32"/>
  <c r="L77" i="32"/>
  <c r="M77" i="32"/>
  <c r="M76" i="32" s="1"/>
  <c r="M75" i="32" s="1"/>
  <c r="K86" i="32"/>
  <c r="I76" i="32"/>
  <c r="I75" i="32" s="1"/>
  <c r="I74" i="32" s="1"/>
  <c r="P95" i="32"/>
  <c r="P137" i="32"/>
  <c r="L32" i="32"/>
  <c r="K59" i="32"/>
  <c r="P73" i="37"/>
  <c r="J72" i="37"/>
  <c r="J6" i="37" s="1"/>
  <c r="O6" i="37" s="1"/>
  <c r="T12" i="37"/>
  <c r="P8" i="37"/>
  <c r="M6" i="32"/>
  <c r="P15" i="32"/>
  <c r="P18" i="32"/>
  <c r="P53" i="32"/>
  <c r="P56" i="32"/>
  <c r="P59" i="32"/>
  <c r="O67" i="32"/>
  <c r="L70" i="32"/>
  <c r="K77" i="32"/>
  <c r="O77" i="32" s="1"/>
  <c r="K101" i="32"/>
  <c r="O107" i="32"/>
  <c r="P109" i="32"/>
  <c r="K130" i="32"/>
  <c r="O130" i="32" s="1"/>
  <c r="K132" i="32"/>
  <c r="K137" i="32"/>
  <c r="O137" i="32" s="1"/>
  <c r="P141" i="32"/>
  <c r="P144" i="32"/>
  <c r="P150" i="32"/>
  <c r="P151" i="32"/>
  <c r="P157" i="32"/>
  <c r="P172" i="32"/>
  <c r="P182" i="32"/>
  <c r="K11" i="36"/>
  <c r="O12" i="36"/>
  <c r="P76" i="36"/>
  <c r="J75" i="36"/>
  <c r="I9" i="36"/>
  <c r="J9" i="36"/>
  <c r="P10" i="36"/>
  <c r="I74" i="36"/>
  <c r="I73" i="36" s="1"/>
  <c r="I72" i="36" s="1"/>
  <c r="P46" i="32"/>
  <c r="O59" i="32"/>
  <c r="P61" i="32"/>
  <c r="N76" i="32"/>
  <c r="N75" i="32" s="1"/>
  <c r="P161" i="32"/>
  <c r="P162" i="32"/>
  <c r="P163" i="32"/>
  <c r="P81" i="32"/>
  <c r="L76" i="32"/>
  <c r="P86" i="32"/>
  <c r="P89" i="32"/>
  <c r="P98" i="32"/>
  <c r="P101" i="32"/>
  <c r="I106" i="32"/>
  <c r="P134" i="32"/>
  <c r="P155" i="32"/>
  <c r="P167" i="32"/>
  <c r="P175" i="32"/>
  <c r="K178" i="32"/>
  <c r="O178" i="32" s="1"/>
  <c r="P14" i="33"/>
  <c r="K14" i="34"/>
  <c r="K13" i="34" s="1"/>
  <c r="K12" i="34" s="1"/>
  <c r="K11" i="34" s="1"/>
  <c r="K10" i="34" s="1"/>
  <c r="O77" i="35"/>
  <c r="J76" i="35"/>
  <c r="J75" i="35" s="1"/>
  <c r="P163" i="35"/>
  <c r="P151" i="35" s="1"/>
  <c r="K163" i="35"/>
  <c r="K151" i="35" s="1"/>
  <c r="K6" i="35" s="1"/>
  <c r="J151" i="35"/>
  <c r="O107" i="35"/>
  <c r="O108" i="35"/>
  <c r="O12" i="35"/>
  <c r="O13" i="35"/>
  <c r="I74" i="35"/>
  <c r="I73" i="35" s="1"/>
  <c r="I72" i="35" s="1"/>
  <c r="J10" i="35"/>
  <c r="P11" i="35"/>
  <c r="I10" i="35"/>
  <c r="I9" i="35" s="1"/>
  <c r="O11" i="35"/>
  <c r="P162" i="34"/>
  <c r="J161" i="34"/>
  <c r="P150" i="34"/>
  <c r="J149" i="34"/>
  <c r="P13" i="34"/>
  <c r="J12" i="34"/>
  <c r="K105" i="34"/>
  <c r="O105" i="34" s="1"/>
  <c r="K9" i="34"/>
  <c r="K8" i="34" s="1"/>
  <c r="O150" i="34"/>
  <c r="O106" i="34"/>
  <c r="I73" i="34"/>
  <c r="N16" i="34"/>
  <c r="N15" i="34" s="1"/>
  <c r="N14" i="34" s="1"/>
  <c r="N13" i="34" s="1"/>
  <c r="L15" i="34"/>
  <c r="L14" i="34" s="1"/>
  <c r="L13" i="34" s="1"/>
  <c r="L12" i="34" s="1"/>
  <c r="L11" i="34" s="1"/>
  <c r="L10" i="34" s="1"/>
  <c r="L9" i="34" s="1"/>
  <c r="L8" i="34" s="1"/>
  <c r="L6" i="34" s="1"/>
  <c r="K76" i="34"/>
  <c r="O146" i="34"/>
  <c r="P74" i="34"/>
  <c r="P162" i="33"/>
  <c r="J161" i="33"/>
  <c r="P106" i="33"/>
  <c r="J105" i="33"/>
  <c r="P105" i="33" s="1"/>
  <c r="O85" i="33"/>
  <c r="O84" i="33" s="1"/>
  <c r="O76" i="33"/>
  <c r="P76" i="33"/>
  <c r="J75" i="33"/>
  <c r="O75" i="33" s="1"/>
  <c r="P9" i="33"/>
  <c r="K14" i="33"/>
  <c r="K13" i="33" s="1"/>
  <c r="K12" i="33" s="1"/>
  <c r="K11" i="33" s="1"/>
  <c r="K10" i="33" s="1"/>
  <c r="K9" i="33" s="1"/>
  <c r="K8" i="33" s="1"/>
  <c r="O8" i="33" s="1"/>
  <c r="N16" i="33"/>
  <c r="N15" i="33" s="1"/>
  <c r="N14" i="33" s="1"/>
  <c r="N13" i="33" s="1"/>
  <c r="I72" i="33"/>
  <c r="I71" i="33" s="1"/>
  <c r="I70" i="33" s="1"/>
  <c r="K71" i="33"/>
  <c r="K70" i="33" s="1"/>
  <c r="K105" i="33"/>
  <c r="O146" i="33"/>
  <c r="O10" i="33"/>
  <c r="O29" i="33"/>
  <c r="O14" i="33" s="1"/>
  <c r="O13" i="33"/>
  <c r="O11" i="33"/>
  <c r="J149" i="32"/>
  <c r="K117" i="32"/>
  <c r="K98" i="32"/>
  <c r="O98" i="32"/>
  <c r="J76" i="32"/>
  <c r="P76" i="32" s="1"/>
  <c r="K50" i="32"/>
  <c r="O50" i="32" s="1"/>
  <c r="P41" i="32"/>
  <c r="P22" i="32"/>
  <c r="K22" i="32"/>
  <c r="I105" i="32"/>
  <c r="I10" i="32"/>
  <c r="P14" i="32"/>
  <c r="L15" i="32"/>
  <c r="L14" i="32" s="1"/>
  <c r="L13" i="32" s="1"/>
  <c r="L12" i="32" s="1"/>
  <c r="L11" i="32" s="1"/>
  <c r="L10" i="32" s="1"/>
  <c r="L9" i="32" s="1"/>
  <c r="L8" i="32" s="1"/>
  <c r="O16" i="32"/>
  <c r="O15" i="32" s="1"/>
  <c r="N9" i="32"/>
  <c r="N8" i="32" s="1"/>
  <c r="N6" i="32" s="1"/>
  <c r="O54" i="32"/>
  <c r="K53" i="32"/>
  <c r="O53" i="32" s="1"/>
  <c r="J75" i="32"/>
  <c r="L75" i="32"/>
  <c r="P92" i="32"/>
  <c r="O97" i="32"/>
  <c r="K95" i="32"/>
  <c r="O103" i="32"/>
  <c r="O110" i="32"/>
  <c r="P127" i="32"/>
  <c r="O135" i="32"/>
  <c r="K134" i="32"/>
  <c r="K139" i="32"/>
  <c r="O139" i="32" s="1"/>
  <c r="O143" i="32"/>
  <c r="K141" i="32"/>
  <c r="O141" i="32" s="1"/>
  <c r="P146" i="32"/>
  <c r="J106" i="32"/>
  <c r="K15" i="32"/>
  <c r="M16" i="32"/>
  <c r="M15" i="32" s="1"/>
  <c r="M14" i="32" s="1"/>
  <c r="O20" i="32"/>
  <c r="O18" i="32" s="1"/>
  <c r="K18" i="32"/>
  <c r="J14" i="32"/>
  <c r="J13" i="32" s="1"/>
  <c r="O22" i="32"/>
  <c r="M34" i="32"/>
  <c r="M32" i="32" s="1"/>
  <c r="K32" i="32"/>
  <c r="O40" i="32"/>
  <c r="O32" i="32" s="1"/>
  <c r="K41" i="32"/>
  <c r="O41" i="32" s="1"/>
  <c r="O48" i="32"/>
  <c r="P50" i="32"/>
  <c r="K56" i="32"/>
  <c r="O56" i="32" s="1"/>
  <c r="K61" i="32"/>
  <c r="O61" i="32" s="1"/>
  <c r="O62" i="32"/>
  <c r="O68" i="32"/>
  <c r="I73" i="32"/>
  <c r="P77" i="32"/>
  <c r="K81" i="32"/>
  <c r="K76" i="32" s="1"/>
  <c r="O86" i="32"/>
  <c r="O90" i="32"/>
  <c r="K89" i="32"/>
  <c r="O89" i="32" s="1"/>
  <c r="O93" i="32"/>
  <c r="K92" i="32"/>
  <c r="O92" i="32" s="1"/>
  <c r="O109" i="32"/>
  <c r="O128" i="32"/>
  <c r="K127" i="32"/>
  <c r="O127" i="32" s="1"/>
  <c r="O132" i="32"/>
  <c r="P132" i="32"/>
  <c r="O134" i="32"/>
  <c r="O147" i="32"/>
  <c r="K146" i="32"/>
  <c r="O146" i="32" s="1"/>
  <c r="O95" i="32"/>
  <c r="O101" i="32"/>
  <c r="P107" i="32"/>
  <c r="P111" i="32"/>
  <c r="P114" i="32"/>
  <c r="P117" i="32"/>
  <c r="P120" i="32"/>
  <c r="P139" i="32"/>
  <c r="O145" i="32"/>
  <c r="K144" i="32"/>
  <c r="O144" i="32" s="1"/>
  <c r="O159" i="32"/>
  <c r="K157" i="32"/>
  <c r="O157" i="32" s="1"/>
  <c r="I149" i="32"/>
  <c r="K172" i="32"/>
  <c r="O172" i="32" s="1"/>
  <c r="O176" i="32"/>
  <c r="K175" i="32"/>
  <c r="O175" i="32" s="1"/>
  <c r="P178" i="32"/>
  <c r="K150" i="32"/>
  <c r="K151" i="32"/>
  <c r="O151" i="32" s="1"/>
  <c r="K153" i="32"/>
  <c r="O153" i="32" s="1"/>
  <c r="K155" i="32"/>
  <c r="O155" i="32" s="1"/>
  <c r="K161" i="32"/>
  <c r="O161" i="32" s="1"/>
  <c r="K162" i="32"/>
  <c r="O162" i="32" s="1"/>
  <c r="K163" i="32"/>
  <c r="O163" i="32" s="1"/>
  <c r="K165" i="32"/>
  <c r="O165" i="32" s="1"/>
  <c r="K167" i="32"/>
  <c r="O167" i="32" s="1"/>
  <c r="K182" i="32"/>
  <c r="O182" i="32" s="1"/>
  <c r="K142" i="31"/>
  <c r="P142" i="31"/>
  <c r="O142" i="31"/>
  <c r="J84" i="31"/>
  <c r="I84" i="31"/>
  <c r="J22" i="31"/>
  <c r="M22" i="31"/>
  <c r="N22" i="31"/>
  <c r="I22" i="31"/>
  <c r="P147" i="31"/>
  <c r="K147" i="31"/>
  <c r="K146" i="31" s="1"/>
  <c r="J146" i="31"/>
  <c r="I146" i="31"/>
  <c r="J120" i="31"/>
  <c r="I120" i="31"/>
  <c r="K124" i="31"/>
  <c r="O124" i="31" s="1"/>
  <c r="O72" i="37" l="1"/>
  <c r="P72" i="37"/>
  <c r="V12" i="37"/>
  <c r="P6" i="37"/>
  <c r="L6" i="32"/>
  <c r="O13" i="34"/>
  <c r="P149" i="32"/>
  <c r="K10" i="36"/>
  <c r="O11" i="36"/>
  <c r="P75" i="36"/>
  <c r="J74" i="36"/>
  <c r="I8" i="36"/>
  <c r="I6" i="36" s="1"/>
  <c r="J8" i="36"/>
  <c r="P9" i="36"/>
  <c r="O75" i="36"/>
  <c r="O74" i="36" s="1"/>
  <c r="O73" i="36" s="1"/>
  <c r="O151" i="35"/>
  <c r="O163" i="35"/>
  <c r="O76" i="35"/>
  <c r="P76" i="35"/>
  <c r="P75" i="35"/>
  <c r="J74" i="35"/>
  <c r="O10" i="35"/>
  <c r="J9" i="35"/>
  <c r="P10" i="35"/>
  <c r="O75" i="35"/>
  <c r="O74" i="35" s="1"/>
  <c r="O73" i="35" s="1"/>
  <c r="P161" i="34"/>
  <c r="P149" i="34" s="1"/>
  <c r="K161" i="34"/>
  <c r="I72" i="34"/>
  <c r="P73" i="34"/>
  <c r="P12" i="34"/>
  <c r="J11" i="34"/>
  <c r="O12" i="34"/>
  <c r="K75" i="34"/>
  <c r="O76" i="34"/>
  <c r="P161" i="33"/>
  <c r="P149" i="33" s="1"/>
  <c r="J149" i="33"/>
  <c r="K161" i="33"/>
  <c r="O105" i="33"/>
  <c r="J74" i="33"/>
  <c r="P75" i="33"/>
  <c r="O9" i="33"/>
  <c r="O12" i="33"/>
  <c r="I6" i="33"/>
  <c r="O81" i="32"/>
  <c r="K75" i="32"/>
  <c r="O76" i="32"/>
  <c r="K149" i="32"/>
  <c r="O149" i="32" s="1"/>
  <c r="O150" i="32"/>
  <c r="K106" i="32"/>
  <c r="K105" i="32" s="1"/>
  <c r="K14" i="32"/>
  <c r="K13" i="32" s="1"/>
  <c r="K12" i="32" s="1"/>
  <c r="K11" i="32" s="1"/>
  <c r="K10" i="32" s="1"/>
  <c r="K9" i="32" s="1"/>
  <c r="K8" i="32" s="1"/>
  <c r="P106" i="32"/>
  <c r="J105" i="32"/>
  <c r="P105" i="32" s="1"/>
  <c r="P75" i="32"/>
  <c r="J74" i="32"/>
  <c r="O106" i="32"/>
  <c r="I72" i="32"/>
  <c r="I71" i="32" s="1"/>
  <c r="I70" i="32" s="1"/>
  <c r="P13" i="32"/>
  <c r="J12" i="32"/>
  <c r="M13" i="32"/>
  <c r="O14" i="32"/>
  <c r="N16" i="32"/>
  <c r="N15" i="32" s="1"/>
  <c r="N14" i="32" s="1"/>
  <c r="N13" i="32" s="1"/>
  <c r="I9" i="32"/>
  <c r="O147" i="31"/>
  <c r="P146" i="31"/>
  <c r="O146" i="31"/>
  <c r="K9" i="36" l="1"/>
  <c r="O9" i="36" s="1"/>
  <c r="O10" i="36"/>
  <c r="J73" i="36"/>
  <c r="P74" i="36"/>
  <c r="P8" i="36"/>
  <c r="J73" i="35"/>
  <c r="P74" i="35"/>
  <c r="O9" i="35"/>
  <c r="I8" i="35"/>
  <c r="P9" i="35"/>
  <c r="J8" i="35"/>
  <c r="O161" i="34"/>
  <c r="K149" i="34"/>
  <c r="O149" i="34" s="1"/>
  <c r="K74" i="34"/>
  <c r="O75" i="34"/>
  <c r="P11" i="34"/>
  <c r="J10" i="34"/>
  <c r="O11" i="34"/>
  <c r="I71" i="34"/>
  <c r="P72" i="34"/>
  <c r="O161" i="33"/>
  <c r="K149" i="33"/>
  <c r="J73" i="33"/>
  <c r="P74" i="33"/>
  <c r="O74" i="33"/>
  <c r="O105" i="32"/>
  <c r="O13" i="32"/>
  <c r="I8" i="32"/>
  <c r="P12" i="32"/>
  <c r="J11" i="32"/>
  <c r="O12" i="32"/>
  <c r="P74" i="32"/>
  <c r="J73" i="32"/>
  <c r="K74" i="32"/>
  <c r="K73" i="32" s="1"/>
  <c r="K72" i="32" s="1"/>
  <c r="K71" i="32" s="1"/>
  <c r="K70" i="32" s="1"/>
  <c r="K6" i="32" s="1"/>
  <c r="O75" i="32"/>
  <c r="P183" i="31"/>
  <c r="K183" i="31"/>
  <c r="O183" i="31" s="1"/>
  <c r="N182" i="31"/>
  <c r="M182" i="31"/>
  <c r="L182" i="31"/>
  <c r="J182" i="31"/>
  <c r="I182" i="31"/>
  <c r="P180" i="31"/>
  <c r="K180" i="31"/>
  <c r="O180" i="31" s="1"/>
  <c r="K179" i="31"/>
  <c r="O179" i="31" s="1"/>
  <c r="J178" i="31"/>
  <c r="I178" i="31"/>
  <c r="P177" i="31"/>
  <c r="K177" i="31"/>
  <c r="O177" i="31" s="1"/>
  <c r="K176" i="31"/>
  <c r="O176" i="31" s="1"/>
  <c r="J175" i="31"/>
  <c r="I175" i="31"/>
  <c r="P174" i="31"/>
  <c r="K174" i="31"/>
  <c r="O174" i="31" s="1"/>
  <c r="K173" i="31"/>
  <c r="J172" i="31"/>
  <c r="I172" i="31"/>
  <c r="P171" i="31"/>
  <c r="K171" i="31"/>
  <c r="O171" i="31" s="1"/>
  <c r="P170" i="31"/>
  <c r="L170" i="31"/>
  <c r="K170" i="31"/>
  <c r="O170" i="31" s="1"/>
  <c r="K169" i="31"/>
  <c r="K168" i="31"/>
  <c r="L167" i="31"/>
  <c r="J167" i="31"/>
  <c r="P166" i="31"/>
  <c r="L166" i="31"/>
  <c r="L165" i="31" s="1"/>
  <c r="K166" i="31"/>
  <c r="O166" i="31" s="1"/>
  <c r="J165" i="31"/>
  <c r="I165" i="31"/>
  <c r="P164" i="31"/>
  <c r="L164" i="31"/>
  <c r="K164" i="31"/>
  <c r="O164" i="31" s="1"/>
  <c r="L163" i="31"/>
  <c r="L162" i="31" s="1"/>
  <c r="L161" i="31" s="1"/>
  <c r="J163" i="31"/>
  <c r="I163" i="31"/>
  <c r="I162" i="31" s="1"/>
  <c r="N162" i="31"/>
  <c r="N161" i="31" s="1"/>
  <c r="M162" i="31"/>
  <c r="M161" i="31" s="1"/>
  <c r="J162" i="31"/>
  <c r="J161" i="31" s="1"/>
  <c r="P159" i="31"/>
  <c r="K159" i="31"/>
  <c r="O159" i="31" s="1"/>
  <c r="J157" i="31"/>
  <c r="I157" i="31"/>
  <c r="P156" i="31"/>
  <c r="L156" i="31"/>
  <c r="K156" i="31"/>
  <c r="O156" i="31" s="1"/>
  <c r="L155" i="31"/>
  <c r="J155" i="31"/>
  <c r="I155" i="31"/>
  <c r="P154" i="31"/>
  <c r="L154" i="31"/>
  <c r="L153" i="31" s="1"/>
  <c r="K154" i="31"/>
  <c r="O154" i="31" s="1"/>
  <c r="J153" i="31"/>
  <c r="I153" i="31"/>
  <c r="P152" i="31"/>
  <c r="L152" i="31"/>
  <c r="K152" i="31"/>
  <c r="O152" i="31" s="1"/>
  <c r="L151" i="31"/>
  <c r="L150" i="31" s="1"/>
  <c r="J151" i="31"/>
  <c r="I151" i="31"/>
  <c r="I150" i="31" s="1"/>
  <c r="N150" i="31"/>
  <c r="M150" i="31"/>
  <c r="P145" i="31"/>
  <c r="K145" i="31"/>
  <c r="O145" i="31" s="1"/>
  <c r="J144" i="31"/>
  <c r="I144" i="31"/>
  <c r="P143" i="31"/>
  <c r="K143" i="31"/>
  <c r="O143" i="31" s="1"/>
  <c r="J141" i="31"/>
  <c r="I141" i="31"/>
  <c r="P140" i="31"/>
  <c r="L140" i="31"/>
  <c r="K140" i="31"/>
  <c r="O140" i="31" s="1"/>
  <c r="L139" i="31"/>
  <c r="J139" i="31"/>
  <c r="I139" i="31"/>
  <c r="P138" i="31"/>
  <c r="K138" i="31"/>
  <c r="K137" i="31" s="1"/>
  <c r="J137" i="31"/>
  <c r="I137" i="31"/>
  <c r="P136" i="31"/>
  <c r="K136" i="31"/>
  <c r="O136" i="31" s="1"/>
  <c r="P135" i="31"/>
  <c r="K135" i="31"/>
  <c r="O135" i="31" s="1"/>
  <c r="N134" i="31"/>
  <c r="M134" i="31"/>
  <c r="L134" i="31"/>
  <c r="J134" i="31"/>
  <c r="I134" i="31"/>
  <c r="P133" i="31"/>
  <c r="K133" i="31"/>
  <c r="O133" i="31" s="1"/>
  <c r="J132" i="31"/>
  <c r="I132" i="31"/>
  <c r="P131" i="31"/>
  <c r="K131" i="31"/>
  <c r="O131" i="31" s="1"/>
  <c r="J130" i="31"/>
  <c r="I130" i="31"/>
  <c r="P129" i="31"/>
  <c r="K129" i="31"/>
  <c r="O129" i="31" s="1"/>
  <c r="P128" i="31"/>
  <c r="K128" i="31"/>
  <c r="O128" i="31" s="1"/>
  <c r="J127" i="31"/>
  <c r="I127" i="31"/>
  <c r="P126" i="31"/>
  <c r="K126" i="31"/>
  <c r="O126" i="31" s="1"/>
  <c r="K125" i="31"/>
  <c r="O125" i="31" s="1"/>
  <c r="K123" i="31"/>
  <c r="O123" i="31" s="1"/>
  <c r="P122" i="31"/>
  <c r="K122" i="31"/>
  <c r="O122" i="31" s="1"/>
  <c r="P121" i="31"/>
  <c r="K121" i="31"/>
  <c r="N120" i="31"/>
  <c r="N105" i="31" s="1"/>
  <c r="M120" i="31"/>
  <c r="L120" i="31"/>
  <c r="P119" i="31"/>
  <c r="K119" i="31"/>
  <c r="O119" i="31" s="1"/>
  <c r="O118" i="31" s="1"/>
  <c r="P118" i="31"/>
  <c r="K118" i="31"/>
  <c r="K117" i="31" s="1"/>
  <c r="J117" i="31"/>
  <c r="I117" i="31"/>
  <c r="P116" i="31"/>
  <c r="K116" i="31"/>
  <c r="O116" i="31" s="1"/>
  <c r="O115" i="31" s="1"/>
  <c r="P115" i="31"/>
  <c r="K115" i="31"/>
  <c r="K114" i="31" s="1"/>
  <c r="J114" i="31"/>
  <c r="I114" i="31"/>
  <c r="P113" i="31"/>
  <c r="K113" i="31"/>
  <c r="O113" i="31" s="1"/>
  <c r="O112" i="31" s="1"/>
  <c r="P112" i="31"/>
  <c r="K112" i="31"/>
  <c r="J111" i="31"/>
  <c r="I111" i="31"/>
  <c r="P110" i="31"/>
  <c r="L110" i="31"/>
  <c r="K110" i="31"/>
  <c r="O110" i="31" s="1"/>
  <c r="L109" i="31"/>
  <c r="K109" i="31"/>
  <c r="J109" i="31"/>
  <c r="I109" i="31"/>
  <c r="P108" i="31"/>
  <c r="L108" i="31"/>
  <c r="L107" i="31" s="1"/>
  <c r="L106" i="31" s="1"/>
  <c r="K108" i="31"/>
  <c r="O108" i="31" s="1"/>
  <c r="J107" i="31"/>
  <c r="I107" i="31"/>
  <c r="M105" i="31"/>
  <c r="P103" i="31"/>
  <c r="L103" i="31"/>
  <c r="L101" i="31" s="1"/>
  <c r="K103" i="31"/>
  <c r="P102" i="31"/>
  <c r="K102" i="31"/>
  <c r="O102" i="31" s="1"/>
  <c r="J101" i="31"/>
  <c r="I101" i="31"/>
  <c r="L100" i="31"/>
  <c r="P100" i="31"/>
  <c r="K99" i="31"/>
  <c r="J98" i="31"/>
  <c r="P97" i="31"/>
  <c r="K97" i="31"/>
  <c r="O97" i="31" s="1"/>
  <c r="P96" i="31"/>
  <c r="K96" i="31"/>
  <c r="O96" i="31" s="1"/>
  <c r="J95" i="31"/>
  <c r="I95" i="31"/>
  <c r="P94" i="31"/>
  <c r="K94" i="31"/>
  <c r="O94" i="31" s="1"/>
  <c r="P93" i="31"/>
  <c r="K93" i="31"/>
  <c r="O93" i="31" s="1"/>
  <c r="J92" i="31"/>
  <c r="I92" i="31"/>
  <c r="P91" i="31"/>
  <c r="K91" i="31"/>
  <c r="P90" i="31"/>
  <c r="K90" i="31"/>
  <c r="O90" i="31" s="1"/>
  <c r="J89" i="31"/>
  <c r="I89" i="31"/>
  <c r="P88" i="31"/>
  <c r="L88" i="31"/>
  <c r="L87" i="31" s="1"/>
  <c r="L86" i="31" s="1"/>
  <c r="K88" i="31"/>
  <c r="O88" i="31" s="1"/>
  <c r="P87" i="31"/>
  <c r="K87" i="31"/>
  <c r="O87" i="31" s="1"/>
  <c r="N86" i="31"/>
  <c r="M86" i="31"/>
  <c r="J86" i="31"/>
  <c r="I86" i="31"/>
  <c r="N85" i="31"/>
  <c r="N84" i="31" s="1"/>
  <c r="L85" i="31"/>
  <c r="L84" i="31" s="1"/>
  <c r="P85" i="31"/>
  <c r="P84" i="31" s="1"/>
  <c r="M83" i="31"/>
  <c r="M85" i="31" s="1"/>
  <c r="M84" i="31" s="1"/>
  <c r="K83" i="31"/>
  <c r="O83" i="31" s="1"/>
  <c r="P82" i="31"/>
  <c r="K82" i="31"/>
  <c r="O82" i="31" s="1"/>
  <c r="J81" i="31"/>
  <c r="I81" i="31"/>
  <c r="P80" i="31"/>
  <c r="L80" i="31"/>
  <c r="K80" i="31"/>
  <c r="O80" i="31" s="1"/>
  <c r="P79" i="31"/>
  <c r="N79" i="31"/>
  <c r="M79" i="31"/>
  <c r="L79" i="31"/>
  <c r="K79" i="31"/>
  <c r="O79" i="31" s="1"/>
  <c r="P78" i="31"/>
  <c r="N78" i="31"/>
  <c r="M78" i="31"/>
  <c r="L78" i="31"/>
  <c r="K78" i="31"/>
  <c r="O78" i="31" s="1"/>
  <c r="J77" i="31"/>
  <c r="I77" i="31"/>
  <c r="N72" i="31"/>
  <c r="M72" i="31"/>
  <c r="L72" i="31"/>
  <c r="N71" i="31"/>
  <c r="N70" i="31" s="1"/>
  <c r="M71" i="31"/>
  <c r="L71" i="31"/>
  <c r="M70" i="31"/>
  <c r="P68" i="31"/>
  <c r="N68" i="31"/>
  <c r="M68" i="31"/>
  <c r="L68" i="31"/>
  <c r="K68" i="31"/>
  <c r="O68" i="31" s="1"/>
  <c r="J67" i="31"/>
  <c r="I67" i="31"/>
  <c r="P66" i="31"/>
  <c r="K66" i="31"/>
  <c r="O66" i="31" s="1"/>
  <c r="M65" i="31"/>
  <c r="K65" i="31"/>
  <c r="O65" i="31" s="1"/>
  <c r="P64" i="31"/>
  <c r="K64" i="31"/>
  <c r="O64" i="31" s="1"/>
  <c r="P63" i="31"/>
  <c r="K63" i="31"/>
  <c r="P62" i="31"/>
  <c r="N62" i="31"/>
  <c r="M62" i="31"/>
  <c r="L62" i="31"/>
  <c r="K62" i="31"/>
  <c r="O62" i="31" s="1"/>
  <c r="J61" i="31"/>
  <c r="I61" i="31"/>
  <c r="P60" i="31"/>
  <c r="L60" i="31"/>
  <c r="K60" i="31"/>
  <c r="O60" i="31" s="1"/>
  <c r="N59" i="31"/>
  <c r="M59" i="31"/>
  <c r="L59" i="31"/>
  <c r="J59" i="31"/>
  <c r="I59" i="31"/>
  <c r="P58" i="31"/>
  <c r="K58" i="31"/>
  <c r="O58" i="31" s="1"/>
  <c r="P57" i="31"/>
  <c r="K57" i="31"/>
  <c r="O57" i="31" s="1"/>
  <c r="J56" i="31"/>
  <c r="I56" i="31"/>
  <c r="P55" i="31"/>
  <c r="K55" i="31"/>
  <c r="O55" i="31" s="1"/>
  <c r="P54" i="31"/>
  <c r="K54" i="31"/>
  <c r="O54" i="31" s="1"/>
  <c r="J53" i="31"/>
  <c r="I53" i="31"/>
  <c r="P52" i="31"/>
  <c r="K52" i="31"/>
  <c r="O52" i="31" s="1"/>
  <c r="P51" i="31"/>
  <c r="K51" i="31"/>
  <c r="O51" i="31" s="1"/>
  <c r="J50" i="31"/>
  <c r="I50" i="31"/>
  <c r="P49" i="31"/>
  <c r="P48" i="31" s="1"/>
  <c r="K49" i="31"/>
  <c r="K48" i="31" s="1"/>
  <c r="J48" i="31"/>
  <c r="I48" i="31"/>
  <c r="P47" i="31"/>
  <c r="N47" i="31"/>
  <c r="N48" i="31" s="1"/>
  <c r="M47" i="31"/>
  <c r="M46" i="31" s="1"/>
  <c r="L47" i="31"/>
  <c r="L48" i="31" s="1"/>
  <c r="K47" i="31"/>
  <c r="O47" i="31" s="1"/>
  <c r="O46" i="31" s="1"/>
  <c r="N46" i="31"/>
  <c r="J46" i="31"/>
  <c r="I46" i="31"/>
  <c r="P45" i="31"/>
  <c r="K45" i="31"/>
  <c r="O45" i="31" s="1"/>
  <c r="P44" i="31"/>
  <c r="K44" i="31"/>
  <c r="O44" i="31" s="1"/>
  <c r="P43" i="31"/>
  <c r="K43" i="31"/>
  <c r="P42" i="31"/>
  <c r="K42" i="31"/>
  <c r="O42" i="31" s="1"/>
  <c r="J41" i="31"/>
  <c r="I41" i="31"/>
  <c r="P40" i="31"/>
  <c r="L40" i="31"/>
  <c r="L34" i="31" s="1"/>
  <c r="K40" i="31"/>
  <c r="O40" i="31" s="1"/>
  <c r="K39" i="31"/>
  <c r="O39" i="31" s="1"/>
  <c r="M38" i="31"/>
  <c r="P38" i="31"/>
  <c r="P37" i="31"/>
  <c r="M37" i="31"/>
  <c r="K37" i="31"/>
  <c r="O37" i="31" s="1"/>
  <c r="P36" i="31"/>
  <c r="K36" i="31"/>
  <c r="O36" i="31" s="1"/>
  <c r="P35" i="31"/>
  <c r="K35" i="31"/>
  <c r="O35" i="31" s="1"/>
  <c r="P34" i="31"/>
  <c r="N34" i="31"/>
  <c r="N32" i="31" s="1"/>
  <c r="K34" i="31"/>
  <c r="P33" i="31"/>
  <c r="L33" i="31"/>
  <c r="K33" i="31"/>
  <c r="O33" i="31" s="1"/>
  <c r="J32" i="31"/>
  <c r="I32" i="31"/>
  <c r="P31" i="31"/>
  <c r="K31" i="31"/>
  <c r="O31" i="31" s="1"/>
  <c r="M30" i="31"/>
  <c r="P30" i="31"/>
  <c r="M29" i="31"/>
  <c r="I29" i="31"/>
  <c r="L28" i="31"/>
  <c r="K28" i="31"/>
  <c r="P28" i="31"/>
  <c r="P27" i="31"/>
  <c r="L27" i="31"/>
  <c r="K27" i="31"/>
  <c r="O27" i="31" s="1"/>
  <c r="L26" i="31"/>
  <c r="P26" i="31"/>
  <c r="K26" i="31"/>
  <c r="P25" i="31"/>
  <c r="L25" i="31"/>
  <c r="K25" i="31"/>
  <c r="P24" i="31"/>
  <c r="L24" i="31"/>
  <c r="K24" i="31"/>
  <c r="O24" i="31" s="1"/>
  <c r="P23" i="31"/>
  <c r="L23" i="31"/>
  <c r="K23" i="31"/>
  <c r="O23" i="31" s="1"/>
  <c r="P21" i="31"/>
  <c r="K21" i="31"/>
  <c r="O21" i="31" s="1"/>
  <c r="P20" i="31"/>
  <c r="K20" i="31"/>
  <c r="O20" i="31" s="1"/>
  <c r="P19" i="31"/>
  <c r="K19" i="31"/>
  <c r="O19" i="31" s="1"/>
  <c r="O18" i="31" s="1"/>
  <c r="N18" i="31"/>
  <c r="M18" i="31"/>
  <c r="L18" i="31"/>
  <c r="K18" i="31"/>
  <c r="J18" i="31"/>
  <c r="I18" i="31"/>
  <c r="P17" i="31"/>
  <c r="K17" i="31"/>
  <c r="O17" i="31" s="1"/>
  <c r="P16" i="31"/>
  <c r="K16" i="31"/>
  <c r="O16" i="31" s="1"/>
  <c r="J15" i="31"/>
  <c r="I15" i="31"/>
  <c r="I14" i="31" s="1"/>
  <c r="N11" i="31"/>
  <c r="N10" i="31" s="1"/>
  <c r="M11" i="31"/>
  <c r="M10" i="31" s="1"/>
  <c r="K8" i="36" l="1"/>
  <c r="J72" i="36"/>
  <c r="J6" i="36" s="1"/>
  <c r="P73" i="36"/>
  <c r="T12" i="36"/>
  <c r="L77" i="31"/>
  <c r="L76" i="31" s="1"/>
  <c r="L75" i="31" s="1"/>
  <c r="O121" i="31"/>
  <c r="K120" i="31"/>
  <c r="O120" i="31" s="1"/>
  <c r="P130" i="31"/>
  <c r="P132" i="31"/>
  <c r="K172" i="31"/>
  <c r="O8" i="35"/>
  <c r="I6" i="35"/>
  <c r="T12" i="35" s="1"/>
  <c r="J72" i="35"/>
  <c r="P73" i="35"/>
  <c r="P8" i="35"/>
  <c r="K73" i="34"/>
  <c r="O74" i="34"/>
  <c r="I70" i="34"/>
  <c r="P71" i="34"/>
  <c r="P10" i="34"/>
  <c r="J9" i="34"/>
  <c r="O10" i="34"/>
  <c r="O149" i="33"/>
  <c r="K6" i="33"/>
  <c r="O73" i="33"/>
  <c r="O72" i="33" s="1"/>
  <c r="O71" i="33" s="1"/>
  <c r="J72" i="33"/>
  <c r="P73" i="33"/>
  <c r="J72" i="32"/>
  <c r="P73" i="32"/>
  <c r="O73" i="32"/>
  <c r="O72" i="32" s="1"/>
  <c r="O71" i="32" s="1"/>
  <c r="P11" i="32"/>
  <c r="J10" i="32"/>
  <c r="O11" i="32"/>
  <c r="I6" i="32"/>
  <c r="O74" i="32"/>
  <c r="P22" i="31"/>
  <c r="L22" i="31"/>
  <c r="L21" i="31" s="1"/>
  <c r="O25" i="31"/>
  <c r="K22" i="31"/>
  <c r="J14" i="31"/>
  <c r="L105" i="31"/>
  <c r="P153" i="31"/>
  <c r="K157" i="31"/>
  <c r="O157" i="31" s="1"/>
  <c r="N149" i="31"/>
  <c r="N9" i="31"/>
  <c r="N8" i="31" s="1"/>
  <c r="N6" i="31" s="1"/>
  <c r="P32" i="31"/>
  <c r="P41" i="31"/>
  <c r="P59" i="31"/>
  <c r="P67" i="31"/>
  <c r="N77" i="31"/>
  <c r="N76" i="31" s="1"/>
  <c r="N75" i="31" s="1"/>
  <c r="K81" i="31"/>
  <c r="O81" i="31" s="1"/>
  <c r="P101" i="31"/>
  <c r="I106" i="31"/>
  <c r="P117" i="31"/>
  <c r="O138" i="31"/>
  <c r="M149" i="31"/>
  <c r="K175" i="31"/>
  <c r="O175" i="31" s="1"/>
  <c r="P178" i="31"/>
  <c r="M34" i="31"/>
  <c r="M32" i="31" s="1"/>
  <c r="J76" i="31"/>
  <c r="M77" i="31"/>
  <c r="M76" i="31" s="1"/>
  <c r="M75" i="31" s="1"/>
  <c r="K101" i="31"/>
  <c r="O101" i="31" s="1"/>
  <c r="J106" i="31"/>
  <c r="J105" i="31" s="1"/>
  <c r="P167" i="31"/>
  <c r="P175" i="31"/>
  <c r="P139" i="31"/>
  <c r="P157" i="31"/>
  <c r="P141" i="31"/>
  <c r="K107" i="31"/>
  <c r="K111" i="31"/>
  <c r="P111" i="31"/>
  <c r="L149" i="31"/>
  <c r="K46" i="31"/>
  <c r="P81" i="31"/>
  <c r="O103" i="31"/>
  <c r="O172" i="31"/>
  <c r="P39" i="31"/>
  <c r="P46" i="31"/>
  <c r="P53" i="31"/>
  <c r="P61" i="31"/>
  <c r="P95" i="31"/>
  <c r="P107" i="31"/>
  <c r="P109" i="31"/>
  <c r="P137" i="31"/>
  <c r="K141" i="31"/>
  <c r="O141" i="31" s="1"/>
  <c r="K163" i="31"/>
  <c r="O163" i="31" s="1"/>
  <c r="P182" i="31"/>
  <c r="P18" i="31"/>
  <c r="K61" i="31"/>
  <c r="O61" i="31" s="1"/>
  <c r="K67" i="31"/>
  <c r="O67" i="31" s="1"/>
  <c r="O109" i="31"/>
  <c r="O137" i="31"/>
  <c r="K139" i="31"/>
  <c r="O139" i="31" s="1"/>
  <c r="P151" i="31"/>
  <c r="P155" i="31"/>
  <c r="L32" i="31"/>
  <c r="P56" i="31"/>
  <c r="K85" i="31"/>
  <c r="P114" i="31"/>
  <c r="K134" i="31"/>
  <c r="O134" i="31" s="1"/>
  <c r="P165" i="31"/>
  <c r="K167" i="31"/>
  <c r="O167" i="31" s="1"/>
  <c r="K178" i="31"/>
  <c r="O178" i="31" s="1"/>
  <c r="P162" i="31"/>
  <c r="K162" i="31"/>
  <c r="O162" i="31" s="1"/>
  <c r="I161" i="31"/>
  <c r="P163" i="31"/>
  <c r="K153" i="31"/>
  <c r="O153" i="31" s="1"/>
  <c r="J150" i="31"/>
  <c r="K89" i="31"/>
  <c r="O89" i="31" s="1"/>
  <c r="P89" i="31"/>
  <c r="J75" i="31"/>
  <c r="J74" i="31" s="1"/>
  <c r="J73" i="31" s="1"/>
  <c r="P86" i="31"/>
  <c r="P77" i="31"/>
  <c r="K77" i="31"/>
  <c r="O77" i="31" s="1"/>
  <c r="K56" i="31"/>
  <c r="O56" i="31" s="1"/>
  <c r="K41" i="31"/>
  <c r="O41" i="31" s="1"/>
  <c r="O15" i="31"/>
  <c r="P15" i="31"/>
  <c r="K15" i="31"/>
  <c r="L16" i="31"/>
  <c r="M16" i="31" s="1"/>
  <c r="M15" i="31" s="1"/>
  <c r="L70" i="31"/>
  <c r="L66" i="31"/>
  <c r="O48" i="31"/>
  <c r="I105" i="31"/>
  <c r="I13" i="31"/>
  <c r="O28" i="31"/>
  <c r="K30" i="31"/>
  <c r="O30" i="31" s="1"/>
  <c r="K38" i="31"/>
  <c r="O38" i="31" s="1"/>
  <c r="L46" i="31"/>
  <c r="L45" i="31" s="1"/>
  <c r="O49" i="31"/>
  <c r="K50" i="31"/>
  <c r="O50" i="31" s="1"/>
  <c r="I76" i="31"/>
  <c r="O91" i="31"/>
  <c r="K92" i="31"/>
  <c r="O92" i="31" s="1"/>
  <c r="I98" i="31"/>
  <c r="K100" i="31"/>
  <c r="P120" i="31"/>
  <c r="K127" i="31"/>
  <c r="O127" i="31" s="1"/>
  <c r="P134" i="31"/>
  <c r="K144" i="31"/>
  <c r="O144" i="31" s="1"/>
  <c r="K151" i="31"/>
  <c r="O151" i="31" s="1"/>
  <c r="K155" i="31"/>
  <c r="O155" i="31" s="1"/>
  <c r="K165" i="31"/>
  <c r="O165" i="31" s="1"/>
  <c r="K182" i="31"/>
  <c r="O182" i="31" s="1"/>
  <c r="O26" i="31"/>
  <c r="K29" i="31"/>
  <c r="O29" i="31" s="1"/>
  <c r="O34" i="31"/>
  <c r="M48" i="31"/>
  <c r="M9" i="31" s="1"/>
  <c r="M8" i="31" s="1"/>
  <c r="K53" i="31"/>
  <c r="O53" i="31" s="1"/>
  <c r="O63" i="31"/>
  <c r="K95" i="31"/>
  <c r="O95" i="31" s="1"/>
  <c r="K130" i="31"/>
  <c r="O130" i="31" s="1"/>
  <c r="K132" i="31"/>
  <c r="O132" i="31" s="1"/>
  <c r="P172" i="31"/>
  <c r="P29" i="31"/>
  <c r="P50" i="31"/>
  <c r="P92" i="31"/>
  <c r="P127" i="31"/>
  <c r="P144" i="31"/>
  <c r="K59" i="31"/>
  <c r="O59" i="31" s="1"/>
  <c r="K86" i="31"/>
  <c r="O86" i="31" s="1"/>
  <c r="K6" i="36" l="1"/>
  <c r="O6" i="36" s="1"/>
  <c r="O8" i="36"/>
  <c r="M6" i="31"/>
  <c r="P72" i="36"/>
  <c r="O72" i="36"/>
  <c r="P72" i="35"/>
  <c r="O72" i="35"/>
  <c r="J6" i="35"/>
  <c r="P9" i="34"/>
  <c r="J8" i="34"/>
  <c r="O9" i="34"/>
  <c r="I6" i="34"/>
  <c r="P70" i="34"/>
  <c r="K72" i="34"/>
  <c r="K71" i="34" s="1"/>
  <c r="K70" i="34" s="1"/>
  <c r="K6" i="34" s="1"/>
  <c r="O73" i="34"/>
  <c r="O72" i="34" s="1"/>
  <c r="O71" i="34" s="1"/>
  <c r="P72" i="33"/>
  <c r="J71" i="33"/>
  <c r="P10" i="32"/>
  <c r="J9" i="32"/>
  <c r="O10" i="32"/>
  <c r="P72" i="32"/>
  <c r="J71" i="32"/>
  <c r="O85" i="31"/>
  <c r="O84" i="31" s="1"/>
  <c r="K84" i="31"/>
  <c r="K76" i="31" s="1"/>
  <c r="K75" i="31" s="1"/>
  <c r="K74" i="31" s="1"/>
  <c r="K73" i="31" s="1"/>
  <c r="K72" i="31" s="1"/>
  <c r="O22" i="31"/>
  <c r="M14" i="31"/>
  <c r="M13" i="31" s="1"/>
  <c r="P14" i="31"/>
  <c r="K14" i="31"/>
  <c r="O14" i="31"/>
  <c r="O32" i="31"/>
  <c r="K106" i="31"/>
  <c r="K105" i="31" s="1"/>
  <c r="O105" i="31" s="1"/>
  <c r="O107" i="31"/>
  <c r="P105" i="31"/>
  <c r="P106" i="31"/>
  <c r="P161" i="31"/>
  <c r="K161" i="31"/>
  <c r="O161" i="31" s="1"/>
  <c r="I149" i="31"/>
  <c r="P150" i="31"/>
  <c r="J149" i="31"/>
  <c r="K150" i="31"/>
  <c r="O150" i="31" s="1"/>
  <c r="N16" i="31"/>
  <c r="N15" i="31" s="1"/>
  <c r="L15" i="31"/>
  <c r="O100" i="31"/>
  <c r="K98" i="31"/>
  <c r="O98" i="31" s="1"/>
  <c r="K32" i="31"/>
  <c r="K13" i="31" s="1"/>
  <c r="K12" i="31" s="1"/>
  <c r="K11" i="31" s="1"/>
  <c r="K10" i="31" s="1"/>
  <c r="K9" i="31" s="1"/>
  <c r="K8" i="31" s="1"/>
  <c r="J13" i="31"/>
  <c r="P98" i="31"/>
  <c r="P76" i="31"/>
  <c r="I75" i="31"/>
  <c r="J72" i="31"/>
  <c r="I12" i="31"/>
  <c r="V12" i="36" l="1"/>
  <c r="P6" i="36"/>
  <c r="P6" i="35"/>
  <c r="V12" i="35"/>
  <c r="O6" i="35"/>
  <c r="O70" i="34"/>
  <c r="P8" i="34"/>
  <c r="J6" i="34"/>
  <c r="P6" i="34" s="1"/>
  <c r="O8" i="34"/>
  <c r="P71" i="33"/>
  <c r="J70" i="33"/>
  <c r="P71" i="32"/>
  <c r="J70" i="32"/>
  <c r="P9" i="32"/>
  <c r="J8" i="32"/>
  <c r="O9" i="32"/>
  <c r="N14" i="31"/>
  <c r="N13" i="31" s="1"/>
  <c r="K149" i="31"/>
  <c r="O149" i="31" s="1"/>
  <c r="L14" i="31"/>
  <c r="L13" i="31" s="1"/>
  <c r="L12" i="31" s="1"/>
  <c r="L11" i="31" s="1"/>
  <c r="L10" i="31" s="1"/>
  <c r="L9" i="31" s="1"/>
  <c r="L8" i="31" s="1"/>
  <c r="L6" i="31" s="1"/>
  <c r="O106" i="31"/>
  <c r="O76" i="31"/>
  <c r="K71" i="31"/>
  <c r="K70" i="31" s="1"/>
  <c r="K6" i="31" s="1"/>
  <c r="P149" i="31"/>
  <c r="P13" i="31"/>
  <c r="J12" i="31"/>
  <c r="O12" i="31" s="1"/>
  <c r="J71" i="31"/>
  <c r="O75" i="31"/>
  <c r="P75" i="31"/>
  <c r="I74" i="31"/>
  <c r="O13" i="31"/>
  <c r="I11" i="31"/>
  <c r="O6" i="34" l="1"/>
  <c r="J6" i="33"/>
  <c r="O70" i="33"/>
  <c r="P70" i="33"/>
  <c r="P8" i="32"/>
  <c r="J6" i="32"/>
  <c r="O8" i="32"/>
  <c r="P70" i="32"/>
  <c r="O70" i="32"/>
  <c r="I10" i="31"/>
  <c r="P12" i="31"/>
  <c r="J11" i="31"/>
  <c r="O11" i="31" s="1"/>
  <c r="O74" i="31"/>
  <c r="I73" i="31"/>
  <c r="P74" i="31"/>
  <c r="J70" i="31"/>
  <c r="O6" i="33" l="1"/>
  <c r="P6" i="33"/>
  <c r="P6" i="32"/>
  <c r="O6" i="32"/>
  <c r="O73" i="31"/>
  <c r="O72" i="31" s="1"/>
  <c r="O71" i="31" s="1"/>
  <c r="I72" i="31"/>
  <c r="P73" i="31"/>
  <c r="I9" i="31"/>
  <c r="J10" i="31"/>
  <c r="O10" i="31" s="1"/>
  <c r="P11" i="31"/>
  <c r="I8" i="31" l="1"/>
  <c r="P10" i="31"/>
  <c r="J9" i="31"/>
  <c r="O9" i="31" s="1"/>
  <c r="I71" i="31"/>
  <c r="P72" i="31"/>
  <c r="I70" i="31" l="1"/>
  <c r="P71" i="31"/>
  <c r="J8" i="31"/>
  <c r="P9" i="31"/>
  <c r="P8" i="31" l="1"/>
  <c r="J6" i="31"/>
  <c r="O70" i="31"/>
  <c r="P70" i="31"/>
  <c r="O8" i="31"/>
  <c r="I6" i="31"/>
  <c r="O6" i="31" l="1"/>
  <c r="P6" i="31"/>
  <c r="P10" i="40"/>
</calcChain>
</file>

<file path=xl/sharedStrings.xml><?xml version="1.0" encoding="utf-8"?>
<sst xmlns="http://schemas.openxmlformats.org/spreadsheetml/2006/main" count="13528" uniqueCount="218">
  <si>
    <t>Исполнение ПФХД МБОУ СОШ ЗАТО Видяево</t>
  </si>
  <si>
    <t>Учреждение</t>
  </si>
  <si>
    <t>Код ведомства</t>
  </si>
  <si>
    <t>КБК</t>
  </si>
  <si>
    <t>КОСГУ</t>
  </si>
  <si>
    <t>доп.            КОСГУ</t>
  </si>
  <si>
    <t>Потребность до конца года</t>
  </si>
  <si>
    <t>Экономия (+;-)           (гр. 9 - гр. 11)</t>
  </si>
  <si>
    <t>Муниципальное бюджетное образовательное учреждение "Средняя общеобразовательная школа закрытого административно-территориального образования Видяево"</t>
  </si>
  <si>
    <t>914</t>
  </si>
  <si>
    <t>МУНИЦИПАЛЬНОЕ ЗАДАНИЕ  МЕСТНЫЙ БЮДЖЕТ</t>
  </si>
  <si>
    <t xml:space="preserve">  ОБРАЗОВАНИЕ</t>
  </si>
  <si>
    <t>07</t>
  </si>
  <si>
    <t>Общее образование</t>
  </si>
  <si>
    <t>02</t>
  </si>
  <si>
    <t>Обеспечение деятельности  средней общеобразовательной школы</t>
  </si>
  <si>
    <t>7010100050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</si>
  <si>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</si>
  <si>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</si>
  <si>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</si>
  <si>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</si>
  <si>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</si>
  <si>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</si>
  <si>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</si>
  <si>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</si>
  <si>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</si>
  <si>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</si>
  <si>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</si>
  <si>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</si>
  <si>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</si>
  <si>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</si>
  <si>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</si>
  <si>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</si>
  <si>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</t>
  </si>
  <si>
    <t>220</t>
  </si>
  <si>
    <t xml:space="preserve"> Услуги связи</t>
  </si>
  <si>
    <t>221</t>
  </si>
  <si>
    <t xml:space="preserve"> Транспортнае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</si>
  <si>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</si>
  <si>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</si>
  <si>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</si>
  <si>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</si>
  <si>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</si>
  <si>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</si>
  <si>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</si>
  <si>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</si>
  <si>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</si>
  <si>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</si>
  <si>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</si>
  <si>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"Модернизация образования ЗАТО Видяево" Расходы по оплате работодателем в пользу работников и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бюджетных и автономных организациях</t>
  </si>
  <si>
    <t>7010122120</t>
  </si>
  <si>
    <t>7010123060</t>
  </si>
  <si>
    <t>70101S1100</t>
  </si>
  <si>
    <t>7010329990</t>
  </si>
  <si>
    <t>МУНИЦИПАЛЬНОЕ ЗАДАНИЕ  ОБЛАСТНОЙ БЮДЖЕТ</t>
  </si>
  <si>
    <t>7010175310</t>
  </si>
  <si>
    <t>Транспортные услуги</t>
  </si>
  <si>
    <t>7010171100</t>
  </si>
  <si>
    <t>Модернизация образования ЗАТО Видяево Субсидии на обеспечение бесплатным питанием отдельных категорий обучающихся</t>
  </si>
  <si>
    <t>7010375320</t>
  </si>
  <si>
    <t>ИНЫЕ ЦЕЛИ  МЕСТНЫЙ БЮДЖЕТ</t>
  </si>
  <si>
    <t>Модернизация образования ЗАТО Видяево Софинансирование субсидии на обеспечение бесплатным цельным молокомобучающихся 1-4 классов общеобразовательных учреждений для детей дошкольного и младшего школьного возраста МБОУ СОШ ЗАТО Видяево</t>
  </si>
  <si>
    <t>70103S1040</t>
  </si>
  <si>
    <t>612</t>
  </si>
  <si>
    <t>Отдых,оздоровление и занятость детей и молодежи ЗАТО Видяево Софинансирование субсидии на организацию отдыха детей Мурманской области в оздоровительных учреждениях с дневным пребыванием, организованных на базе муниципальных учреждений МБОУ СОШ ЗАТО Видяево</t>
  </si>
  <si>
    <t xml:space="preserve">70204S1070 </t>
  </si>
  <si>
    <t>70204S1070</t>
  </si>
  <si>
    <t>"Развитие физической культуры и спорта"Реализация мероприятий по привлечению населения к физической культуре и спорту МБОУ СОШ ЗАТО Видяево</t>
  </si>
  <si>
    <t>11</t>
  </si>
  <si>
    <t>01</t>
  </si>
  <si>
    <t>7310220160</t>
  </si>
  <si>
    <t>ИНЫЕ ЦЕЛИ  ОБЛАСТНОЙ БЮДЖЕТ</t>
  </si>
  <si>
    <t>7010371040</t>
  </si>
  <si>
    <t>Отдых,оздоровление и занятость детей и молодежи ЗАТО Видяево Субсидии на организацию отдыха детей Мурманской области в оздоровительных учреждениях с дневным пребыванием, организованных на базе муниципальных учреждений МБОУ СОШ ЗАТО Видяево</t>
  </si>
  <si>
    <t>7020471070</t>
  </si>
  <si>
    <t>СОЦИАЛЬНАЯ ПОЛИТИКА</t>
  </si>
  <si>
    <t>10</t>
  </si>
  <si>
    <t>Социальное обеспечение населения</t>
  </si>
  <si>
    <t>03</t>
  </si>
  <si>
    <t>"Дополнительные меры социальной поддержки граждан ЗАТО Видяево" Cубсидии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 МБОУ СОШ ЗАТО Видяево</t>
  </si>
  <si>
    <t>ПОСТУПЛЕНИЯ ОТ ОКАЗАНИЯ УСЛУГ НА ПЛАТНОЙ ОСНОВЕ</t>
  </si>
  <si>
    <t>000</t>
  </si>
  <si>
    <t>00</t>
  </si>
  <si>
    <t>0000000000</t>
  </si>
  <si>
    <t>7010123330</t>
  </si>
  <si>
    <t>09</t>
  </si>
  <si>
    <t>7010420220</t>
  </si>
  <si>
    <t>"Модернизация образования ЗАТО Видяево"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организациях,финансируемых из местного бюджета</t>
  </si>
  <si>
    <t>"Модернизация образования ЗАТО Видяево" Софинансирование субсидии на обеспечение бесплатным питанием отдельных категорий обучающихся</t>
  </si>
  <si>
    <t xml:space="preserve">"Модернизация образования ЗАТО Видяево" Компенсация расходов на оплату коммунальных услуг для обеспечения государственных (муниципальных) нужд  </t>
  </si>
  <si>
    <t>7020120110</t>
  </si>
  <si>
    <t>Примечание</t>
  </si>
  <si>
    <t>(подпись)</t>
  </si>
  <si>
    <t>Социальные пособия и компенсации персоналу в денежной форме</t>
  </si>
  <si>
    <t>266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</si>
  <si>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</si>
  <si>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</si>
  <si>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</t>
  </si>
  <si>
    <t>291</t>
  </si>
  <si>
    <t>292</t>
  </si>
  <si>
    <t>293</t>
  </si>
  <si>
    <t>341</t>
  </si>
  <si>
    <t>344</t>
  </si>
  <si>
    <t>345</t>
  </si>
  <si>
    <t>346</t>
  </si>
  <si>
    <t>349</t>
  </si>
  <si>
    <t>Увеличение стоимости лекарственных препаратов и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</si>
  <si>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</si>
  <si>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</si>
  <si>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</si>
  <si>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</si>
  <si>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Прочие несоциальные выплаты персоналу в натуральной форме</t>
  </si>
  <si>
    <t>214</t>
  </si>
  <si>
    <t>Увеличение стоимости продуктов питания</t>
  </si>
  <si>
    <t>342</t>
  </si>
  <si>
    <t>7020529990</t>
  </si>
  <si>
    <t>7020320110</t>
  </si>
  <si>
    <t>Развитие образования ЗАТО Видяево подпрограмма "Молодежная политика ЗАТО Видяево" Реализация мероприятий по выявлению и поддержки талантливых детей и молодежи (Мероприятие 1)</t>
  </si>
  <si>
    <t>Развитие образования ЗАТО Видяево подпрограмма "Молодежная политика ЗАТО Видяево" Реализация мероприятий по выявлению и поддержки талантливых детей и молодежи (Мероприятие 5)</t>
  </si>
  <si>
    <t>Развитие образования ЗАТО Видяево подпрограмма "Молодежная политика ЗАТО Видяево" Реализация мероприятий по выявлению и поддержки талантливых детей и молодежи (Мероприятие 3)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</si>
  <si>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</t>
  </si>
  <si>
    <t>Другие экономические санкции</t>
  </si>
  <si>
    <t>295</t>
  </si>
  <si>
    <t>Страхование</t>
  </si>
  <si>
    <t>227</t>
  </si>
  <si>
    <t>Развитие образования ЗАТО Видяево подпрограмма "Молодежная политика ЗАТО Видяево" Организация временной занятости подростков в летнее и свободное от учебы время</t>
  </si>
  <si>
    <t>7020420140</t>
  </si>
  <si>
    <t>Развитие образования ЗАТО Видяево подпрограмма "Модернизация образования ЗАТО Видяево" Проведение ремонтных работ по подготовке учреждений к новому учебному году</t>
  </si>
  <si>
    <t>"Модернизация образования ЗАТО Видяево" 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(СЕЛО)</t>
  </si>
  <si>
    <t>"Модернизация образования ЗАТО Видяево" 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(МРОТ)</t>
  </si>
  <si>
    <t>"Модернизация образования ЗАТО Видяево"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(СЕЛО)</t>
  </si>
  <si>
    <t>"Модернизация образования ЗАТО Видяево"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(МРОТ)</t>
  </si>
  <si>
    <t>70101Р1100</t>
  </si>
  <si>
    <t xml:space="preserve">70204Р1070 </t>
  </si>
  <si>
    <t>70204Р1070</t>
  </si>
  <si>
    <t>701Е254910</t>
  </si>
  <si>
    <t>70103Р1040</t>
  </si>
  <si>
    <t>7310320240</t>
  </si>
  <si>
    <t>701Е151690</t>
  </si>
  <si>
    <t xml:space="preserve">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</si>
  <si>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</si>
  <si>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</si>
  <si>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Реализация мероприятий по развитию инфраструктуры материально-технической ресурсной базы муниципальных учреждений</t>
  </si>
  <si>
    <t xml:space="preserve"> Обновление материально-технической базы для формирования у обучающихся современных технологических и гуманитарных навыков</t>
  </si>
  <si>
    <t>701Е254911</t>
  </si>
  <si>
    <t>Отдых, оздоровление детей и молодежи ЗАТО Видяево</t>
  </si>
  <si>
    <t>262</t>
  </si>
  <si>
    <t>70104S0790</t>
  </si>
  <si>
    <t>Реализация мероприятий по проведению капитальных (текущих) ремонтов социальной, инженерной и жилищно-коммунальной инфраструктуры</t>
  </si>
  <si>
    <t>702К077160</t>
  </si>
  <si>
    <t>Увеличение стоимости горюче-смазочных материалов</t>
  </si>
  <si>
    <t>343</t>
  </si>
  <si>
    <t>7010171080</t>
  </si>
  <si>
    <t>Модернизация образования ЗАТО Видяево Субсидии на обеспечение бесплатным цельным молоком обучающихся 1-4 классов общеобразовательных учреждений для детей дошкольного и младшего школьного возраста МБОУ СОШ ЗАТО Видяево</t>
  </si>
  <si>
    <t>Модернизация образования ЗАТО Видяево Субсидии на обеспечение и организацию питания в образовательных учреждениях бесплатным горячим питанием обучающихся 1-4 классов общеобразовательных учреждений для детей дошкольного и младшего школьного возраста МБОУ СОШ ЗАТО Видяево</t>
  </si>
  <si>
    <t>70103S1250</t>
  </si>
  <si>
    <t>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</si>
  <si>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</si>
  <si>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7010173030</t>
  </si>
  <si>
    <t>7010371250</t>
  </si>
  <si>
    <t>70103L3040</t>
  </si>
  <si>
    <t>Модернизация образования. Разработка проектно-сметной документации</t>
  </si>
  <si>
    <t>7310320260</t>
  </si>
  <si>
    <t>по состоянию на 01.02.2021 года</t>
  </si>
  <si>
    <t>Утверждено           на 2021 год</t>
  </si>
  <si>
    <t>Исполнено                       на 01.02.2021 г.</t>
  </si>
  <si>
    <t>% исполнения на 01.02.2021 г.              (гр. 10 / гр. 9 * 100%)</t>
  </si>
  <si>
    <t>Пособия по социальной помощи населению в денежной форме</t>
  </si>
  <si>
    <t>Исполнитель: зам. директора</t>
  </si>
  <si>
    <t>Е. Ю. Шандрак</t>
  </si>
  <si>
    <t>по состоянию на 01.03.2021 года</t>
  </si>
  <si>
    <t>Исполнено                       на 01.03.2021 г.</t>
  </si>
  <si>
    <t>% исполнения на 01.03.2021 г.              (гр. 10 / гр. 9 * 100%)</t>
  </si>
  <si>
    <t>по состоянию на 01.04.2021 года</t>
  </si>
  <si>
    <t>Исполнено                       на 01.04.2021 г.</t>
  </si>
  <si>
    <t>% исполнения на 01.04.2021 г.              (гр. 10 / гр. 9 * 100%)</t>
  </si>
  <si>
    <r>
      <t>Исполнитель: экономист</t>
    </r>
    <r>
      <rPr>
        <u/>
        <sz val="14"/>
        <rFont val="Times New Roman"/>
        <family val="1"/>
        <charset val="204"/>
      </rPr>
      <t xml:space="preserve">                                                    </t>
    </r>
    <r>
      <rPr>
        <sz val="14"/>
        <rFont val="Times New Roman"/>
        <family val="1"/>
        <charset val="204"/>
      </rPr>
      <t>М. С. Савоськина</t>
    </r>
  </si>
  <si>
    <t xml:space="preserve">                                                   подпись</t>
  </si>
  <si>
    <t>по состоянию на 01.05.2021 года</t>
  </si>
  <si>
    <t>Исполнено                       на 01.05.2021 г.</t>
  </si>
  <si>
    <t>по состоянию на 01.06.2021 года</t>
  </si>
  <si>
    <r>
      <t>Исполнитель: экономист</t>
    </r>
    <r>
      <rPr>
        <u/>
        <sz val="14"/>
        <rFont val="Times New Roman"/>
        <family val="1"/>
        <charset val="204"/>
      </rPr>
      <t xml:space="preserve">                                                    </t>
    </r>
    <r>
      <rPr>
        <sz val="14"/>
        <rFont val="Times New Roman"/>
        <family val="1"/>
        <charset val="204"/>
      </rPr>
      <t>Е.Г. Шелест</t>
    </r>
  </si>
  <si>
    <t>Исполнено                       на 01.06.2021 г.</t>
  </si>
  <si>
    <t>% исполнения на 01.06.2021 г.              (гр. 10 / гр. 9 * 100%)</t>
  </si>
  <si>
    <t>по состоянию на 01.07.2021 года</t>
  </si>
  <si>
    <t>Исполнено                       на 01.07.2021 г.</t>
  </si>
  <si>
    <t>ГРАНТ</t>
  </si>
  <si>
    <t>% исполнения на 01.07.2021 г.              (гр. 10 / гр. 9 * 100%)</t>
  </si>
  <si>
    <t>по состоянию на 01.08.2021 года</t>
  </si>
  <si>
    <t>Исполнено                       на 01.08.2021 г.</t>
  </si>
  <si>
    <t>% исполнения на 01.08.2021 г.              (гр. 10 / гр. 9 * 100%)</t>
  </si>
  <si>
    <t>по состоянию на 01.09.2021 года</t>
  </si>
  <si>
    <t>Исполнено                       на 01.09.2021 г.</t>
  </si>
  <si>
    <t>% исполнения на 01.09.2021 г.              (гр. 10 / гр. 9 * 100%)</t>
  </si>
  <si>
    <t>Софинансирование ГРАНТ</t>
  </si>
  <si>
    <t>по состоянию на 01.10.2021 года</t>
  </si>
  <si>
    <t>Исполнено                       на 01.10.2021 г.</t>
  </si>
  <si>
    <t>% исполнения на 01.10.2021 г.              (гр. 10 / гр. 9 * 100%)</t>
  </si>
  <si>
    <t>7010520290</t>
  </si>
  <si>
    <t xml:space="preserve">стеллажи для лыж, мечей, для лаборантских, скамейка </t>
  </si>
  <si>
    <t>эконмия от закупки мягкого инвентаря</t>
  </si>
  <si>
    <t>эконмия от закупки расходных материалов</t>
  </si>
  <si>
    <t>эконмия от закупки грамот, дипломов, аттестатов</t>
  </si>
  <si>
    <t>по состоянию на 01.11.2021 года</t>
  </si>
  <si>
    <t>Исполнено                       на 01.11.2021 г.</t>
  </si>
  <si>
    <t>% исполнения на 01.11.2021 г.              (гр. 10 / гр. 9 * 100%)</t>
  </si>
  <si>
    <t xml:space="preserve">стеллажи для лыж, мячей, для лаборантских, скамейка </t>
  </si>
  <si>
    <t>договора с физ. охраной Росгвардии - 738 687,84 + ежемесячные платежи</t>
  </si>
  <si>
    <t>ежемесячные платежи</t>
  </si>
  <si>
    <t>мед комиссия 1 сотруднику</t>
  </si>
  <si>
    <t>по состоянию на 01.12.2021 года</t>
  </si>
  <si>
    <t>Исполнено                       на 01.12.2021 г.</t>
  </si>
  <si>
    <t>% исполнения на 01.12.2021 г.              (гр. 10 / гр. 9 * 100%)</t>
  </si>
  <si>
    <t>по состоянию на 01.01.2022 года</t>
  </si>
  <si>
    <t>Исполнено                       на 01.01.2022 г.</t>
  </si>
  <si>
    <t>% исполнения на 01.01.2022 г.              (гр. 10 / гр. 9 * 100%)</t>
  </si>
  <si>
    <r>
      <t xml:space="preserve">Исполнитель: </t>
    </r>
    <r>
      <rPr>
        <u/>
        <sz val="14"/>
        <rFont val="Times New Roman"/>
        <family val="1"/>
        <charset val="204"/>
      </rPr>
      <t xml:space="preserve">                                                    </t>
    </r>
    <r>
      <rPr>
        <sz val="14"/>
        <rFont val="Times New Roman"/>
        <family val="1"/>
        <charset val="204"/>
      </rPr>
      <t>Е. Ю. Шандрак</t>
    </r>
  </si>
  <si>
    <t>Транспортнае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</si>
</sst>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[Red]\-#,##0.00\ "/>
    <numFmt numFmtId="166" formatCode="[$-419]d\ mmm;@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9" fillId="9" borderId="0"/>
    <xf numFmtId="0" fontId="25" fillId="0" borderId="0">
      <alignment vertical="top" wrapText="1"/>
    </xf>
  </cellStyleXfs>
  <cellXfs count="391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horizontal="right" vertical="top" shrinkToFit="1"/>
    </xf>
    <xf numFmtId="4" fontId="12" fillId="4" borderId="12" xfId="0" applyNumberFormat="1" applyFont="1" applyFill="1" applyBorder="1" applyAlignment="1">
      <alignment horizontal="right" vertical="top" shrinkToFit="1"/>
    </xf>
    <xf numFmtId="4" fontId="4" fillId="4" borderId="1" xfId="0" applyNumberFormat="1" applyFont="1" applyFill="1" applyBorder="1" applyAlignment="1">
      <alignment vertical="top"/>
    </xf>
    <xf numFmtId="2" fontId="4" fillId="4" borderId="1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center" vertical="top" wrapText="1"/>
    </xf>
    <xf numFmtId="4" fontId="9" fillId="5" borderId="1" xfId="0" applyNumberFormat="1" applyFont="1" applyFill="1" applyBorder="1" applyAlignment="1">
      <alignment horizontal="right" vertical="top" shrinkToFit="1"/>
    </xf>
    <xf numFmtId="0" fontId="14" fillId="0" borderId="0" xfId="0" applyFont="1" applyFill="1"/>
    <xf numFmtId="49" fontId="13" fillId="6" borderId="1" xfId="0" applyNumberFormat="1" applyFont="1" applyFill="1" applyBorder="1" applyAlignment="1">
      <alignment horizontal="center" vertical="top" wrapText="1"/>
    </xf>
    <xf numFmtId="4" fontId="4" fillId="6" borderId="1" xfId="0" applyNumberFormat="1" applyFont="1" applyFill="1" applyBorder="1" applyAlignment="1">
      <alignment horizontal="right" vertical="top" shrinkToFit="1"/>
    </xf>
    <xf numFmtId="4" fontId="10" fillId="6" borderId="12" xfId="0" applyNumberFormat="1" applyFont="1" applyFill="1" applyBorder="1" applyAlignment="1">
      <alignment horizontal="right" vertical="top" shrinkToFit="1"/>
    </xf>
    <xf numFmtId="0" fontId="3" fillId="6" borderId="0" xfId="0" applyFont="1" applyFill="1"/>
    <xf numFmtId="4" fontId="4" fillId="6" borderId="1" xfId="0" applyNumberFormat="1" applyFont="1" applyFill="1" applyBorder="1" applyAlignment="1">
      <alignment vertical="top"/>
    </xf>
    <xf numFmtId="2" fontId="4" fillId="6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top" shrinkToFit="1"/>
    </xf>
    <xf numFmtId="4" fontId="10" fillId="0" borderId="12" xfId="0" applyNumberFormat="1" applyFont="1" applyFill="1" applyBorder="1" applyAlignment="1">
      <alignment horizontal="right" vertical="top" shrinkToFit="1"/>
    </xf>
    <xf numFmtId="4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4" fontId="4" fillId="7" borderId="1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/>
    <xf numFmtId="4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49" fontId="13" fillId="0" borderId="13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top" shrinkToFit="1"/>
    </xf>
    <xf numFmtId="4" fontId="13" fillId="0" borderId="10" xfId="0" applyNumberFormat="1" applyFont="1" applyFill="1" applyBorder="1" applyAlignment="1">
      <alignment horizontal="right" vertical="top" shrinkToFit="1"/>
    </xf>
    <xf numFmtId="4" fontId="13" fillId="7" borderId="1" xfId="0" applyNumberFormat="1" applyFont="1" applyFill="1" applyBorder="1" applyAlignment="1">
      <alignment horizontal="right" vertical="top" shrinkToFit="1"/>
    </xf>
    <xf numFmtId="4" fontId="16" fillId="7" borderId="1" xfId="0" applyNumberFormat="1" applyFont="1" applyFill="1" applyBorder="1" applyAlignment="1">
      <alignment horizontal="right" vertical="top" shrinkToFit="1"/>
    </xf>
    <xf numFmtId="4" fontId="15" fillId="5" borderId="12" xfId="0" applyNumberFormat="1" applyFont="1" applyFill="1" applyBorder="1" applyAlignment="1">
      <alignment horizontal="right" vertical="top" shrinkToFit="1"/>
    </xf>
    <xf numFmtId="4" fontId="10" fillId="5" borderId="12" xfId="0" applyNumberFormat="1" applyFont="1" applyFill="1" applyBorder="1" applyAlignment="1">
      <alignment horizontal="right" vertical="top" shrinkToFit="1"/>
    </xf>
    <xf numFmtId="4" fontId="12" fillId="7" borderId="12" xfId="0" applyNumberFormat="1" applyFont="1" applyFill="1" applyBorder="1" applyAlignment="1">
      <alignment horizontal="right" vertical="top" shrinkToFit="1"/>
    </xf>
    <xf numFmtId="0" fontId="4" fillId="6" borderId="1" xfId="0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top" wrapText="1"/>
    </xf>
    <xf numFmtId="4" fontId="17" fillId="6" borderId="12" xfId="0" applyNumberFormat="1" applyFont="1" applyFill="1" applyBorder="1" applyAlignment="1">
      <alignment horizontal="right" vertical="top" shrinkToFit="1"/>
    </xf>
    <xf numFmtId="49" fontId="13" fillId="7" borderId="1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shrinkToFit="1"/>
    </xf>
    <xf numFmtId="4" fontId="17" fillId="2" borderId="12" xfId="0" applyNumberFormat="1" applyFont="1" applyFill="1" applyBorder="1" applyAlignment="1">
      <alignment horizontal="right" vertical="top" shrinkToFit="1"/>
    </xf>
    <xf numFmtId="0" fontId="14" fillId="2" borderId="0" xfId="0" applyFont="1" applyFill="1"/>
    <xf numFmtId="0" fontId="3" fillId="5" borderId="0" xfId="0" applyFont="1" applyFill="1"/>
    <xf numFmtId="2" fontId="4" fillId="5" borderId="1" xfId="0" applyNumberFormat="1" applyFont="1" applyFill="1" applyBorder="1" applyAlignment="1">
      <alignment vertical="top"/>
    </xf>
    <xf numFmtId="4" fontId="12" fillId="2" borderId="12" xfId="0" applyNumberFormat="1" applyFont="1" applyFill="1" applyBorder="1" applyAlignment="1">
      <alignment horizontal="right" vertical="top" shrinkToFit="1"/>
    </xf>
    <xf numFmtId="4" fontId="18" fillId="7" borderId="12" xfId="0" applyNumberFormat="1" applyFont="1" applyFill="1" applyBorder="1" applyAlignment="1">
      <alignment horizontal="right" vertical="top" shrinkToFit="1"/>
    </xf>
    <xf numFmtId="49" fontId="9" fillId="8" borderId="9" xfId="0" applyNumberFormat="1" applyFont="1" applyFill="1" applyBorder="1" applyAlignment="1">
      <alignment horizontal="left" vertical="center" wrapText="1"/>
    </xf>
    <xf numFmtId="49" fontId="4" fillId="8" borderId="9" xfId="0" applyNumberFormat="1" applyFont="1" applyFill="1" applyBorder="1" applyAlignment="1">
      <alignment horizontal="center" vertical="top" wrapText="1"/>
    </xf>
    <xf numFmtId="4" fontId="4" fillId="8" borderId="9" xfId="0" applyNumberFormat="1" applyFont="1" applyFill="1" applyBorder="1" applyAlignment="1">
      <alignment horizontal="right" vertical="top" shrinkToFit="1"/>
    </xf>
    <xf numFmtId="2" fontId="4" fillId="8" borderId="1" xfId="0" applyNumberFormat="1" applyFont="1" applyFill="1" applyBorder="1" applyAlignment="1">
      <alignment vertical="top"/>
    </xf>
    <xf numFmtId="4" fontId="4" fillId="6" borderId="10" xfId="0" applyNumberFormat="1" applyFont="1" applyFill="1" applyBorder="1" applyAlignment="1">
      <alignment horizontal="right" vertical="top" shrinkToFit="1"/>
    </xf>
    <xf numFmtId="4" fontId="9" fillId="6" borderId="1" xfId="0" applyNumberFormat="1" applyFont="1" applyFill="1" applyBorder="1" applyAlignment="1">
      <alignment horizontal="right" vertical="top" shrinkToFit="1"/>
    </xf>
    <xf numFmtId="4" fontId="18" fillId="2" borderId="12" xfId="0" applyNumberFormat="1" applyFont="1" applyFill="1" applyBorder="1" applyAlignment="1">
      <alignment horizontal="right" vertical="top" shrinkToFit="1"/>
    </xf>
    <xf numFmtId="49" fontId="20" fillId="4" borderId="1" xfId="3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center" wrapText="1"/>
    </xf>
    <xf numFmtId="4" fontId="9" fillId="4" borderId="1" xfId="1" applyNumberFormat="1" applyFont="1" applyFill="1" applyBorder="1" applyAlignment="1">
      <alignment shrinkToFit="1"/>
    </xf>
    <xf numFmtId="4" fontId="4" fillId="4" borderId="1" xfId="1" applyNumberFormat="1" applyFont="1" applyFill="1" applyBorder="1" applyAlignment="1">
      <alignment shrinkToFit="1"/>
    </xf>
    <xf numFmtId="49" fontId="21" fillId="5" borderId="1" xfId="3" applyNumberFormat="1" applyFont="1" applyFill="1" applyBorder="1" applyAlignment="1">
      <alignment horizontal="left" wrapText="1"/>
    </xf>
    <xf numFmtId="49" fontId="4" fillId="5" borderId="1" xfId="0" applyNumberFormat="1" applyFont="1" applyFill="1" applyBorder="1" applyAlignment="1">
      <alignment horizontal="center" wrapText="1"/>
    </xf>
    <xf numFmtId="4" fontId="9" fillId="5" borderId="1" xfId="1" applyNumberFormat="1" applyFont="1" applyFill="1" applyBorder="1" applyAlignment="1">
      <alignment shrinkToFit="1"/>
    </xf>
    <xf numFmtId="4" fontId="4" fillId="5" borderId="1" xfId="1" applyNumberFormat="1" applyFont="1" applyFill="1" applyBorder="1" applyAlignment="1">
      <alignment shrinkToFit="1"/>
    </xf>
    <xf numFmtId="0" fontId="4" fillId="6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4" fontId="12" fillId="6" borderId="12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4" fontId="10" fillId="0" borderId="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Alignment="1"/>
    <xf numFmtId="0" fontId="3" fillId="0" borderId="0" xfId="0" applyFont="1" applyFill="1" applyAlignment="1"/>
    <xf numFmtId="0" fontId="10" fillId="0" borderId="0" xfId="0" applyFont="1" applyFill="1"/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vertical="center" wrapText="1"/>
    </xf>
    <xf numFmtId="0" fontId="4" fillId="6" borderId="1" xfId="0" applyFont="1" applyFill="1" applyBorder="1" applyAlignment="1">
      <alignment vertical="top" wrapText="1"/>
    </xf>
    <xf numFmtId="4" fontId="10" fillId="7" borderId="12" xfId="0" applyNumberFormat="1" applyFont="1" applyFill="1" applyBorder="1" applyAlignment="1">
      <alignment horizontal="right" vertical="top" shrinkToFit="1"/>
    </xf>
    <xf numFmtId="4" fontId="4" fillId="7" borderId="1" xfId="0" applyNumberFormat="1" applyFont="1" applyFill="1" applyBorder="1" applyAlignment="1">
      <alignment vertical="top"/>
    </xf>
    <xf numFmtId="4" fontId="13" fillId="6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/>
    <xf numFmtId="4" fontId="17" fillId="0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Fill="1" applyBorder="1" applyAlignment="1">
      <alignment horizontal="right" vertical="top" shrinkToFit="1"/>
    </xf>
    <xf numFmtId="4" fontId="17" fillId="5" borderId="12" xfId="0" applyNumberFormat="1" applyFont="1" applyFill="1" applyBorder="1" applyAlignment="1">
      <alignment horizontal="right" vertical="top" shrinkToFit="1"/>
    </xf>
    <xf numFmtId="4" fontId="4" fillId="10" borderId="1" xfId="0" applyNumberFormat="1" applyFont="1" applyFill="1" applyBorder="1" applyAlignment="1">
      <alignment vertical="top"/>
    </xf>
    <xf numFmtId="2" fontId="4" fillId="10" borderId="1" xfId="0" applyNumberFormat="1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horizontal="right" vertical="top" shrinkToFit="1"/>
    </xf>
    <xf numFmtId="4" fontId="13" fillId="0" borderId="0" xfId="0" applyNumberFormat="1" applyFont="1" applyFill="1" applyBorder="1" applyAlignment="1">
      <alignment horizontal="right" vertical="top" shrinkToFit="1"/>
    </xf>
    <xf numFmtId="49" fontId="13" fillId="0" borderId="1" xfId="0" applyNumberFormat="1" applyFont="1" applyFill="1" applyBorder="1" applyAlignment="1">
      <alignment horizontal="left" vertical="center" wrapText="1"/>
    </xf>
    <xf numFmtId="4" fontId="13" fillId="7" borderId="10" xfId="0" applyNumberFormat="1" applyFont="1" applyFill="1" applyBorder="1" applyAlignment="1">
      <alignment horizontal="right" vertical="top" shrinkToFit="1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13" fillId="6" borderId="2" xfId="0" applyNumberFormat="1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shrinkToFit="1"/>
    </xf>
    <xf numFmtId="4" fontId="4" fillId="6" borderId="2" xfId="0" applyNumberFormat="1" applyFont="1" applyFill="1" applyBorder="1" applyAlignment="1">
      <alignment vertical="top"/>
    </xf>
    <xf numFmtId="2" fontId="4" fillId="6" borderId="2" xfId="0" applyNumberFormat="1" applyFont="1" applyFill="1" applyBorder="1" applyAlignment="1">
      <alignment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49" fontId="13" fillId="0" borderId="2" xfId="0" applyNumberFormat="1" applyFont="1" applyFill="1" applyBorder="1" applyAlignment="1">
      <alignment horizontal="center" vertical="top" wrapText="1"/>
    </xf>
    <xf numFmtId="49" fontId="13" fillId="7" borderId="2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13" fillId="0" borderId="2" xfId="0" applyNumberFormat="1" applyFont="1" applyFill="1" applyBorder="1" applyAlignment="1">
      <alignment horizontal="right" vertical="top" shrinkToFit="1"/>
    </xf>
    <xf numFmtId="4" fontId="13" fillId="0" borderId="3" xfId="0" applyNumberFormat="1" applyFont="1" applyFill="1" applyBorder="1" applyAlignment="1">
      <alignment horizontal="right" vertical="top" shrinkToFit="1"/>
    </xf>
    <xf numFmtId="4" fontId="13" fillId="7" borderId="2" xfId="0" applyNumberFormat="1" applyFont="1" applyFill="1" applyBorder="1" applyAlignment="1">
      <alignment horizontal="right" vertical="top" shrinkToFit="1"/>
    </xf>
    <xf numFmtId="4" fontId="13" fillId="0" borderId="2" xfId="0" applyNumberFormat="1" applyFont="1" applyFill="1" applyBorder="1" applyAlignment="1">
      <alignment vertical="top"/>
    </xf>
    <xf numFmtId="2" fontId="13" fillId="0" borderId="2" xfId="0" applyNumberFormat="1" applyFont="1" applyFill="1" applyBorder="1" applyAlignment="1">
      <alignment vertical="top"/>
    </xf>
    <xf numFmtId="4" fontId="13" fillId="6" borderId="1" xfId="0" applyNumberFormat="1" applyFont="1" applyFill="1" applyBorder="1" applyAlignment="1">
      <alignment horizontal="right" vertical="top" shrinkToFit="1"/>
    </xf>
    <xf numFmtId="4" fontId="13" fillId="6" borderId="10" xfId="0" applyNumberFormat="1" applyFont="1" applyFill="1" applyBorder="1" applyAlignment="1">
      <alignment horizontal="right" vertical="top" shrinkToFit="1"/>
    </xf>
    <xf numFmtId="4" fontId="13" fillId="6" borderId="2" xfId="0" applyNumberFormat="1" applyFont="1" applyFill="1" applyBorder="1" applyAlignment="1">
      <alignment horizontal="right" vertical="top" shrinkToFit="1"/>
    </xf>
    <xf numFmtId="4" fontId="13" fillId="6" borderId="3" xfId="0" applyNumberFormat="1" applyFont="1" applyFill="1" applyBorder="1" applyAlignment="1">
      <alignment horizontal="right" vertical="top" shrinkToFit="1"/>
    </xf>
    <xf numFmtId="4" fontId="9" fillId="6" borderId="1" xfId="1" applyNumberFormat="1" applyFont="1" applyFill="1" applyBorder="1" applyAlignment="1">
      <alignment shrinkToFit="1"/>
    </xf>
    <xf numFmtId="4" fontId="13" fillId="6" borderId="0" xfId="0" applyNumberFormat="1" applyFont="1" applyFill="1" applyBorder="1" applyAlignment="1">
      <alignment horizontal="justify" vertical="center" wrapText="1"/>
    </xf>
    <xf numFmtId="4" fontId="23" fillId="6" borderId="0" xfId="0" applyNumberFormat="1" applyFont="1" applyFill="1" applyBorder="1" applyAlignment="1">
      <alignment horizontal="justify" vertical="center" wrapText="1"/>
    </xf>
    <xf numFmtId="0" fontId="22" fillId="6" borderId="0" xfId="0" applyFont="1" applyFill="1"/>
    <xf numFmtId="49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shrinkToFit="1"/>
    </xf>
    <xf numFmtId="4" fontId="12" fillId="0" borderId="5" xfId="0" applyNumberFormat="1" applyFont="1" applyFill="1" applyBorder="1" applyAlignment="1">
      <alignment horizontal="right" vertical="top" shrinkToFit="1"/>
    </xf>
    <xf numFmtId="4" fontId="4" fillId="0" borderId="2" xfId="0" applyNumberFormat="1" applyFont="1" applyFill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0" fontId="13" fillId="6" borderId="1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right" vertical="top" shrinkToFit="1"/>
    </xf>
    <xf numFmtId="4" fontId="10" fillId="0" borderId="5" xfId="0" applyNumberFormat="1" applyFont="1" applyFill="1" applyBorder="1" applyAlignment="1">
      <alignment horizontal="right" vertical="top" shrinkToFit="1"/>
    </xf>
    <xf numFmtId="4" fontId="10" fillId="0" borderId="1" xfId="0" applyNumberFormat="1" applyFont="1" applyFill="1" applyBorder="1" applyAlignment="1">
      <alignment horizontal="right" vertical="top" shrinkToFit="1"/>
    </xf>
    <xf numFmtId="0" fontId="1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13" fillId="7" borderId="1" xfId="0" applyNumberFormat="1" applyFont="1" applyFill="1" applyBorder="1" applyAlignment="1">
      <alignment vertical="top"/>
    </xf>
    <xf numFmtId="2" fontId="13" fillId="7" borderId="1" xfId="0" applyNumberFormat="1" applyFont="1" applyFill="1" applyBorder="1" applyAlignment="1">
      <alignment vertical="top"/>
    </xf>
    <xf numFmtId="2" fontId="4" fillId="7" borderId="1" xfId="0" applyNumberFormat="1" applyFont="1" applyFill="1" applyBorder="1" applyAlignment="1">
      <alignment vertical="top"/>
    </xf>
    <xf numFmtId="4" fontId="4" fillId="7" borderId="10" xfId="0" applyNumberFormat="1" applyFont="1" applyFill="1" applyBorder="1" applyAlignment="1">
      <alignment horizontal="right" vertical="top" shrinkToFit="1"/>
    </xf>
    <xf numFmtId="4" fontId="9" fillId="11" borderId="1" xfId="0" applyNumberFormat="1" applyFont="1" applyFill="1" applyBorder="1" applyAlignment="1">
      <alignment horizontal="right" vertical="top" shrinkToFit="1"/>
    </xf>
    <xf numFmtId="4" fontId="13" fillId="7" borderId="3" xfId="0" applyNumberFormat="1" applyFont="1" applyFill="1" applyBorder="1" applyAlignment="1">
      <alignment horizontal="right" vertical="top" shrinkToFit="1"/>
    </xf>
    <xf numFmtId="0" fontId="6" fillId="7" borderId="1" xfId="0" applyFont="1" applyFill="1" applyBorder="1" applyAlignment="1">
      <alignment horizontal="center" vertical="center" wrapText="1"/>
    </xf>
    <xf numFmtId="4" fontId="4" fillId="7" borderId="9" xfId="0" applyNumberFormat="1" applyFont="1" applyFill="1" applyBorder="1" applyAlignment="1">
      <alignment horizontal="right" vertical="top" shrinkToFit="1"/>
    </xf>
    <xf numFmtId="49" fontId="9" fillId="7" borderId="9" xfId="0" applyNumberFormat="1" applyFont="1" applyFill="1" applyBorder="1" applyAlignment="1">
      <alignment horizontal="left" vertical="center" wrapText="1"/>
    </xf>
    <xf numFmtId="49" fontId="4" fillId="7" borderId="9" xfId="0" applyNumberFormat="1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vertical="top"/>
    </xf>
    <xf numFmtId="49" fontId="4" fillId="11" borderId="1" xfId="0" applyNumberFormat="1" applyFont="1" applyFill="1" applyBorder="1" applyAlignment="1">
      <alignment horizontal="center" vertical="top" wrapText="1"/>
    </xf>
    <xf numFmtId="4" fontId="15" fillId="7" borderId="12" xfId="0" applyNumberFormat="1" applyFont="1" applyFill="1" applyBorder="1" applyAlignment="1">
      <alignment horizontal="right" vertical="top" shrinkToFit="1"/>
    </xf>
    <xf numFmtId="4" fontId="17" fillId="7" borderId="12" xfId="0" applyNumberFormat="1" applyFont="1" applyFill="1" applyBorder="1" applyAlignment="1">
      <alignment horizontal="right" vertical="top" shrinkToFit="1"/>
    </xf>
    <xf numFmtId="2" fontId="13" fillId="7" borderId="10" xfId="0" applyNumberFormat="1" applyFont="1" applyFill="1" applyBorder="1" applyAlignment="1">
      <alignment vertical="top"/>
    </xf>
    <xf numFmtId="4" fontId="16" fillId="7" borderId="10" xfId="0" applyNumberFormat="1" applyFont="1" applyFill="1" applyBorder="1" applyAlignment="1">
      <alignment horizontal="right" vertical="top" shrinkToFit="1"/>
    </xf>
    <xf numFmtId="0" fontId="6" fillId="0" borderId="4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3" fillId="7" borderId="0" xfId="0" applyNumberFormat="1" applyFont="1" applyFill="1" applyBorder="1"/>
    <xf numFmtId="0" fontId="3" fillId="7" borderId="0" xfId="0" applyFont="1" applyFill="1" applyBorder="1"/>
    <xf numFmtId="4" fontId="13" fillId="7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14" fillId="7" borderId="0" xfId="0" applyNumberFormat="1" applyFont="1" applyFill="1" applyBorder="1"/>
    <xf numFmtId="0" fontId="14" fillId="7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/>
    <xf numFmtId="4" fontId="3" fillId="6" borderId="0" xfId="0" applyNumberFormat="1" applyFont="1" applyFill="1" applyBorder="1"/>
    <xf numFmtId="0" fontId="3" fillId="6" borderId="0" xfId="0" applyFont="1" applyFill="1" applyBorder="1"/>
    <xf numFmtId="4" fontId="3" fillId="2" borderId="0" xfId="0" applyNumberFormat="1" applyFont="1" applyFill="1" applyBorder="1"/>
    <xf numFmtId="0" fontId="3" fillId="2" borderId="0" xfId="0" applyFont="1" applyFill="1" applyBorder="1"/>
    <xf numFmtId="0" fontId="4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" fontId="14" fillId="2" borderId="0" xfId="0" applyNumberFormat="1" applyFont="1" applyFill="1" applyBorder="1"/>
    <xf numFmtId="0" fontId="14" fillId="2" borderId="0" xfId="0" applyFont="1" applyFill="1" applyBorder="1"/>
    <xf numFmtId="49" fontId="4" fillId="0" borderId="1" xfId="0" applyNumberFormat="1" applyFont="1" applyFill="1" applyBorder="1" applyAlignment="1">
      <alignment horizontal="left" vertical="center" wrapText="1"/>
    </xf>
    <xf numFmtId="4" fontId="14" fillId="6" borderId="0" xfId="0" applyNumberFormat="1" applyFont="1" applyFill="1" applyBorder="1"/>
    <xf numFmtId="0" fontId="14" fillId="6" borderId="0" xfId="0" applyFont="1" applyFill="1" applyBorder="1"/>
    <xf numFmtId="4" fontId="3" fillId="4" borderId="0" xfId="0" applyNumberFormat="1" applyFont="1" applyFill="1" applyBorder="1"/>
    <xf numFmtId="0" fontId="3" fillId="4" borderId="0" xfId="0" applyFont="1" applyFill="1" applyBorder="1"/>
    <xf numFmtId="49" fontId="4" fillId="6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27" fillId="0" borderId="0" xfId="0" applyNumberFormat="1" applyFont="1" applyFill="1"/>
    <xf numFmtId="4" fontId="28" fillId="0" borderId="0" xfId="0" applyNumberFormat="1" applyFont="1" applyFill="1"/>
    <xf numFmtId="165" fontId="28" fillId="0" borderId="0" xfId="0" applyNumberFormat="1" applyFont="1" applyFill="1"/>
    <xf numFmtId="165" fontId="3" fillId="0" borderId="0" xfId="0" applyNumberFormat="1" applyFont="1" applyFill="1"/>
    <xf numFmtId="4" fontId="13" fillId="0" borderId="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top" wrapText="1" shrinkToFit="1"/>
    </xf>
    <xf numFmtId="4" fontId="16" fillId="0" borderId="1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>
      <alignment horizontal="right" vertical="top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4" fontId="22" fillId="6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4" fontId="4" fillId="4" borderId="1" xfId="0" applyNumberFormat="1" applyFont="1" applyFill="1" applyBorder="1" applyAlignment="1">
      <alignment horizontal="right" vertical="top" shrinkToFit="1"/>
    </xf>
    <xf numFmtId="4" fontId="17" fillId="6" borderId="5" xfId="0" applyNumberFormat="1" applyFont="1" applyFill="1" applyBorder="1" applyAlignment="1">
      <alignment horizontal="right" vertical="top" shrinkToFit="1"/>
    </xf>
    <xf numFmtId="4" fontId="17" fillId="2" borderId="5" xfId="0" applyNumberFormat="1" applyFont="1" applyFill="1" applyBorder="1" applyAlignment="1">
      <alignment horizontal="right" vertical="top" shrinkToFit="1"/>
    </xf>
    <xf numFmtId="4" fontId="4" fillId="6" borderId="1" xfId="1" applyNumberFormat="1" applyFont="1" applyFill="1" applyBorder="1" applyAlignment="1">
      <alignment shrinkToFit="1"/>
    </xf>
    <xf numFmtId="0" fontId="13" fillId="0" borderId="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right" vertical="top" shrinkToFit="1"/>
    </xf>
    <xf numFmtId="4" fontId="13" fillId="0" borderId="11" xfId="0" applyNumberFormat="1" applyFont="1" applyBorder="1" applyAlignment="1">
      <alignment horizontal="right" vertical="top" shrinkToFit="1"/>
    </xf>
    <xf numFmtId="4" fontId="13" fillId="12" borderId="1" xfId="0" applyNumberFormat="1" applyFont="1" applyFill="1" applyBorder="1" applyAlignment="1">
      <alignment horizontal="right" vertical="top" shrinkToFit="1"/>
    </xf>
    <xf numFmtId="4" fontId="13" fillId="0" borderId="1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0" fontId="3" fillId="0" borderId="0" xfId="0" applyFont="1"/>
    <xf numFmtId="0" fontId="14" fillId="0" borderId="0" xfId="0" applyFont="1"/>
    <xf numFmtId="165" fontId="29" fillId="0" borderId="0" xfId="0" applyNumberFormat="1" applyFont="1" applyFill="1" applyAlignment="1">
      <alignment vertical="top"/>
    </xf>
    <xf numFmtId="4" fontId="29" fillId="12" borderId="0" xfId="0" applyNumberFormat="1" applyFont="1" applyFill="1" applyBorder="1" applyAlignment="1">
      <alignment horizontal="center" vertical="top" wrapText="1"/>
    </xf>
    <xf numFmtId="166" fontId="30" fillId="0" borderId="0" xfId="0" applyNumberFormat="1" applyFont="1" applyAlignment="1">
      <alignment horizontal="left"/>
    </xf>
    <xf numFmtId="164" fontId="31" fillId="13" borderId="17" xfId="0" applyNumberFormat="1" applyFont="1" applyFill="1" applyBorder="1" applyAlignment="1">
      <alignment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13" fillId="0" borderId="2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justify" vertical="center" wrapText="1"/>
    </xf>
    <xf numFmtId="4" fontId="23" fillId="6" borderId="1" xfId="0" applyNumberFormat="1" applyFont="1" applyFill="1" applyBorder="1" applyAlignment="1">
      <alignment horizontal="justify" vertical="center" wrapText="1"/>
    </xf>
    <xf numFmtId="0" fontId="10" fillId="7" borderId="1" xfId="0" applyFont="1" applyFill="1" applyBorder="1"/>
    <xf numFmtId="0" fontId="3" fillId="0" borderId="1" xfId="0" applyFont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 wrapText="1"/>
    </xf>
    <xf numFmtId="49" fontId="11" fillId="3" borderId="11" xfId="0" applyNumberFormat="1" applyFont="1" applyFill="1" applyBorder="1" applyAlignment="1">
      <alignment horizontal="center" wrapText="1"/>
    </xf>
    <xf numFmtId="49" fontId="11" fillId="3" borderId="12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2" xfId="0" applyFont="1" applyFill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_роспись" xfId="3" xr:uid="{00000000-0005-0000-0000-00000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8.5\tcbuh\&#1057;&#1040;&#1042;&#1054;&#1057;&#1068;&#1050;&#1048;&#1053;&#1040;\&#1086;&#1090;%20&#1064;&#1072;&#1085;&#1076;&#1088;&#1072;&#1082;\&#1101;&#1082;&#1086;&#1085;&#1086;&#1084;&#1080;&#1089;&#1090;%20&#1057;&#1054;&#1064;,%20&#1052;&#1060;&#1062;\&#1076;&#1083;&#1103;%20&#1101;&#1082;&#1086;&#1085;&#1086;&#1084;&#1080;&#1089;&#1090;&#1072;\1.%20&#1050;&#1040;&#1057;&#1057;&#1054;&#1042;&#1067;&#1045;%20&#1056;&#1040;&#1057;&#1061;&#1054;&#1044;&#1067;\2021\&#1082;&#1072;&#1089;&#1089;&#1086;&#1074;&#1099;&#1077;%20&#1088;&#1072;&#1089;&#1093;&#1086;&#1076;&#1099;%202021%20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04.21"/>
      <sheetName val="05.21"/>
      <sheetName val="06.21"/>
      <sheetName val="07.21"/>
      <sheetName val="08.21"/>
      <sheetName val="09.21"/>
      <sheetName val="10.21"/>
      <sheetName val="11.21"/>
      <sheetName val="12.21"/>
      <sheetName val="остатки для директо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8">
          <cell r="C318">
            <v>125716120.73999999</v>
          </cell>
          <cell r="M318">
            <v>81864368.790000007</v>
          </cell>
        </row>
      </sheetData>
      <sheetData sheetId="9"/>
      <sheetData sheetId="10">
        <row r="318">
          <cell r="C318">
            <v>134844620.73999998</v>
          </cell>
          <cell r="M318">
            <v>105640072.71999998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16"/>
  <sheetViews>
    <sheetView showWhiteSpace="0" view="pageBreakPreview" topLeftCell="A49" zoomScale="55" zoomScaleNormal="75" zoomScaleSheetLayoutView="55" workbookViewId="0">
      <selection activeCell="E229" sqref="E229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163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165</v>
      </c>
      <c r="K3" s="353" t="s">
        <v>6</v>
      </c>
      <c r="L3" s="169"/>
      <c r="M3" s="170"/>
      <c r="N3" s="169"/>
      <c r="O3" s="353" t="s">
        <v>7</v>
      </c>
      <c r="P3" s="355" t="s">
        <v>166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 t="shared" ref="I6:N6" si="0">I8+I70+I105+I149+I182</f>
        <v>123347795.70000002</v>
      </c>
      <c r="J6" s="160">
        <f t="shared" si="0"/>
        <v>1863744.29</v>
      </c>
      <c r="K6" s="160">
        <f t="shared" si="0"/>
        <v>121484051.41</v>
      </c>
      <c r="L6" s="160" t="e">
        <f t="shared" si="0"/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0</v>
      </c>
      <c r="P6" s="163">
        <f>J6/I6*100</f>
        <v>1.510966839272021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I9+I61+I67</f>
        <v>24523970.260000002</v>
      </c>
      <c r="J8" s="9">
        <f>J9+J61+J67</f>
        <v>593458.15</v>
      </c>
      <c r="K8" s="9">
        <f>K9+K61+K67</f>
        <v>23930512.109999999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 t="shared" ref="O8:O12" si="1">I8-J8-K8</f>
        <v>0</v>
      </c>
      <c r="P8" s="12">
        <f>J8/I8*100</f>
        <v>2.4199105760944599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</f>
        <v>24295157.370000001</v>
      </c>
      <c r="J9" s="157">
        <f>J10+J41+J46+J48+J50+J53+J59+J56</f>
        <v>593458.15</v>
      </c>
      <c r="K9" s="157">
        <f>K10+K41+K46+K48+K50+K53+K59+K56</f>
        <v>23701699.219999999</v>
      </c>
      <c r="L9" s="14" t="e">
        <f>L10+L41+L46+L48+L50+L53+L59+L56+L61+L67+#REF!</f>
        <v>#REF!</v>
      </c>
      <c r="M9" s="14" t="e">
        <f>M10+M41+M46+M48+M50+M53+M59+M56+M61+M67+#REF!</f>
        <v>#REF!</v>
      </c>
      <c r="N9" s="14" t="e">
        <f>N10+N41+N46+N48+N50+N53+N59+N56+N61+N67+#REF!</f>
        <v>#REF!</v>
      </c>
      <c r="O9" s="95">
        <f>I9-J9-K9</f>
        <v>0</v>
      </c>
      <c r="P9" s="96">
        <f t="shared" ref="P9:P60" si="2">J9/I9*100</f>
        <v>2.4427014032549978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 t="shared" ref="I10:N12" si="3">I11</f>
        <v>10897429.09</v>
      </c>
      <c r="J10" s="17">
        <f t="shared" si="3"/>
        <v>478864.48000000004</v>
      </c>
      <c r="K10" s="17">
        <f t="shared" si="3"/>
        <v>10418564.609999999</v>
      </c>
      <c r="L10" s="17" t="e">
        <f t="shared" si="3"/>
        <v>#REF!</v>
      </c>
      <c r="M10" s="17">
        <f t="shared" si="3"/>
        <v>0</v>
      </c>
      <c r="N10" s="17">
        <f t="shared" si="3"/>
        <v>0</v>
      </c>
      <c r="O10" s="20">
        <f t="shared" si="1"/>
        <v>0</v>
      </c>
      <c r="P10" s="21">
        <f t="shared" si="2"/>
        <v>4.3942885615051068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10897429.09</v>
      </c>
      <c r="J11" s="28">
        <f t="shared" si="3"/>
        <v>478864.48000000004</v>
      </c>
      <c r="K11" s="33">
        <f t="shared" si="3"/>
        <v>10418564.609999999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si="1"/>
        <v>0</v>
      </c>
      <c r="P11" s="31">
        <f t="shared" si="2"/>
        <v>4.3942885615051068</v>
      </c>
      <c r="Q11" s="352"/>
      <c r="R11" s="352"/>
    </row>
    <row r="12" spans="1:50" ht="23.25" customHeight="1" x14ac:dyDescent="0.2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 t="shared" si="3"/>
        <v>10897429.09</v>
      </c>
      <c r="J12" s="35">
        <f>J13</f>
        <v>478864.48000000004</v>
      </c>
      <c r="K12" s="35">
        <f>K13</f>
        <v>10418564.609999999</v>
      </c>
      <c r="L12" s="87" t="e">
        <f>L13</f>
        <v>#REF!</v>
      </c>
      <c r="M12" s="176"/>
      <c r="N12" s="177"/>
      <c r="O12" s="88">
        <f t="shared" si="1"/>
        <v>0</v>
      </c>
      <c r="P12" s="154">
        <f t="shared" si="2"/>
        <v>4.3942885615051068</v>
      </c>
      <c r="Q12" s="352"/>
      <c r="R12" s="352"/>
    </row>
    <row r="13" spans="1:50" ht="56.25" x14ac:dyDescent="0.25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10897429.09</v>
      </c>
      <c r="J13" s="35">
        <f>J14+J32</f>
        <v>478864.48000000004</v>
      </c>
      <c r="K13" s="35">
        <f>K14+K32+K28</f>
        <v>10418564.609999999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154">
        <f t="shared" si="2"/>
        <v>4.3942885615051068</v>
      </c>
      <c r="Q13" s="352"/>
      <c r="R13" s="352"/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 t="shared" ref="I14:P14" si="4">I15+I22+I27+I29+I30+I31+I21+I18+I28</f>
        <v>9397230.3200000003</v>
      </c>
      <c r="J14" s="28">
        <f t="shared" si="4"/>
        <v>478864.48000000004</v>
      </c>
      <c r="K14" s="28">
        <f t="shared" si="4"/>
        <v>8918365.8399999999</v>
      </c>
      <c r="L14" s="28" t="e">
        <f t="shared" si="4"/>
        <v>#REF!</v>
      </c>
      <c r="M14" s="28">
        <f t="shared" si="4"/>
        <v>4214935.46</v>
      </c>
      <c r="N14" s="28">
        <f t="shared" si="4"/>
        <v>-6353780.6899999995</v>
      </c>
      <c r="O14" s="28">
        <f t="shared" si="4"/>
        <v>0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72245</v>
      </c>
      <c r="K15" s="28">
        <f>K16+K17</f>
        <v>2851127.46</v>
      </c>
      <c r="L15" s="28">
        <f t="shared" ref="L15:N15" si="5">L16+L17+L18</f>
        <v>-2093845.23</v>
      </c>
      <c r="M15" s="28">
        <f t="shared" si="5"/>
        <v>4259935.46</v>
      </c>
      <c r="N15" s="28">
        <f t="shared" si="5"/>
        <v>-6353780.6899999995</v>
      </c>
      <c r="O15" s="28">
        <f>O16+O17</f>
        <v>0</v>
      </c>
      <c r="P15" s="155">
        <f>J15/I15*100</f>
        <v>2.4712896145980658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178">
        <v>2238335.23</v>
      </c>
      <c r="J16" s="100">
        <v>72245</v>
      </c>
      <c r="K16" s="100">
        <f>I16-J16</f>
        <v>2166090.23</v>
      </c>
      <c r="L16" s="100">
        <f t="shared" ref="L16:N16" si="6">J16-K16</f>
        <v>-2093845.23</v>
      </c>
      <c r="M16" s="100">
        <f t="shared" si="6"/>
        <v>4259935.46</v>
      </c>
      <c r="N16" s="100">
        <f t="shared" si="6"/>
        <v>-6353780.6899999995</v>
      </c>
      <c r="O16" s="153">
        <f>I16-J16-K16</f>
        <v>0</v>
      </c>
      <c r="P16" s="154">
        <f t="shared" si="2"/>
        <v>3.2276219858273865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35">
        <v>685037.23</v>
      </c>
      <c r="J17" s="35">
        <v>0</v>
      </c>
      <c r="K17" s="100">
        <f>I17-J17</f>
        <v>685037.23</v>
      </c>
      <c r="L17" s="165"/>
      <c r="M17" s="176"/>
      <c r="N17" s="177"/>
      <c r="O17" s="153">
        <f t="shared" ref="O17:O21" si="7">I17-J17-K17</f>
        <v>0</v>
      </c>
      <c r="P17" s="154">
        <f t="shared" si="2"/>
        <v>0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28">
        <f>I19+I20</f>
        <v>15000</v>
      </c>
      <c r="J18" s="28">
        <f t="shared" ref="J18:O18" si="8">J19+J20</f>
        <v>0</v>
      </c>
      <c r="K18" s="28">
        <f t="shared" si="8"/>
        <v>15000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2"/>
        <v>0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35">
        <v>0</v>
      </c>
      <c r="J19" s="35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2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35">
        <v>15000</v>
      </c>
      <c r="J20" s="35">
        <v>0</v>
      </c>
      <c r="K20" s="35">
        <f t="shared" si="9"/>
        <v>15000</v>
      </c>
      <c r="L20" s="28"/>
      <c r="M20" s="28"/>
      <c r="N20" s="28"/>
      <c r="O20" s="35">
        <f t="shared" si="7"/>
        <v>0</v>
      </c>
      <c r="P20" s="154">
        <f t="shared" si="2"/>
        <v>0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28">
        <v>30000</v>
      </c>
      <c r="J21" s="28">
        <v>0</v>
      </c>
      <c r="K21" s="28">
        <f t="shared" si="9"/>
        <v>30000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2"/>
        <v>0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28">
        <f>I23+I25+I26+I24</f>
        <v>5294109.8599999994</v>
      </c>
      <c r="J22" s="28">
        <f t="shared" ref="J22:P22" si="10">J23+J25+J26+J24</f>
        <v>406619.48000000004</v>
      </c>
      <c r="K22" s="28">
        <f t="shared" si="10"/>
        <v>4887490.38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19.346832855355352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35">
        <v>155350.32</v>
      </c>
      <c r="J23" s="35">
        <v>1695.7</v>
      </c>
      <c r="K23" s="35">
        <f>I23-J23</f>
        <v>153654.62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2"/>
        <v>1.0915329945892611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35">
        <v>100000</v>
      </c>
      <c r="J24" s="35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2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35">
        <v>2218116.29</v>
      </c>
      <c r="J25" s="35">
        <v>404923.78</v>
      </c>
      <c r="K25" s="35">
        <f>I25-J25</f>
        <v>1813192.51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2"/>
        <v>18.25529986076609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35">
        <v>2820643.25</v>
      </c>
      <c r="J26" s="35">
        <v>0</v>
      </c>
      <c r="K26" s="23">
        <f t="shared" si="11"/>
        <v>2820643.25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2"/>
        <v>0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35">
        <v>1134748</v>
      </c>
      <c r="J27" s="35">
        <v>0</v>
      </c>
      <c r="K27" s="23">
        <f t="shared" si="11"/>
        <v>1134748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2"/>
        <v>0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35">
        <v>0</v>
      </c>
      <c r="J28" s="35">
        <v>0</v>
      </c>
      <c r="K28" s="23">
        <f t="shared" si="11"/>
        <v>0</v>
      </c>
      <c r="L28" s="24">
        <f t="shared" si="13"/>
        <v>30000</v>
      </c>
      <c r="M28" s="182"/>
      <c r="N28" s="183"/>
      <c r="O28" s="25">
        <f t="shared" si="12"/>
        <v>0</v>
      </c>
      <c r="P28" s="26" t="e">
        <f t="shared" si="2"/>
        <v>#DIV/0!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36">
        <f>5000-5000</f>
        <v>0</v>
      </c>
      <c r="J29" s="168">
        <v>0</v>
      </c>
      <c r="K29" s="23">
        <f t="shared" si="11"/>
        <v>0</v>
      </c>
      <c r="L29" s="38">
        <v>15000</v>
      </c>
      <c r="M29" s="182">
        <f>J29-L29</f>
        <v>-15000</v>
      </c>
      <c r="N29" s="183"/>
      <c r="O29" s="25">
        <f t="shared" si="12"/>
        <v>0</v>
      </c>
      <c r="P29" s="26" t="e">
        <f t="shared" si="2"/>
        <v>#DIV/0!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35">
        <v>0</v>
      </c>
      <c r="J30" s="168">
        <v>0</v>
      </c>
      <c r="K30" s="23">
        <f t="shared" si="11"/>
        <v>0</v>
      </c>
      <c r="L30" s="38">
        <v>30000</v>
      </c>
      <c r="M30" s="182">
        <f>J30-L30</f>
        <v>-30000</v>
      </c>
      <c r="N30" s="183"/>
      <c r="O30" s="25">
        <f t="shared" si="12"/>
        <v>0</v>
      </c>
      <c r="P30" s="26" t="e">
        <f t="shared" si="2"/>
        <v>#DIV/0!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35">
        <v>0</v>
      </c>
      <c r="J31" s="168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2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28">
        <f>I34+I33+I37+I38+I39+I40+I35+I36</f>
        <v>1500198.77</v>
      </c>
      <c r="J32" s="28">
        <f>J34+J33+J37+J38+J39+J40+J35+J36</f>
        <v>0</v>
      </c>
      <c r="K32" s="33">
        <f>K34+K33+K37+K38+K39+K40+K35+K36</f>
        <v>1500198.77</v>
      </c>
      <c r="L32" s="33" t="e">
        <f t="shared" ref="L32:O32" si="14">L34+L33+L37+L38+L39+L40</f>
        <v>#REF!</v>
      </c>
      <c r="M32" s="33">
        <f t="shared" si="14"/>
        <v>-4713864</v>
      </c>
      <c r="N32" s="33">
        <f t="shared" si="14"/>
        <v>0</v>
      </c>
      <c r="O32" s="33">
        <f t="shared" si="14"/>
        <v>0</v>
      </c>
      <c r="P32" s="31">
        <f t="shared" si="2"/>
        <v>0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35">
        <v>393981.41</v>
      </c>
      <c r="J33" s="35">
        <v>0</v>
      </c>
      <c r="K33" s="23">
        <f>I33-J33</f>
        <v>393981.41</v>
      </c>
      <c r="L33" s="39" t="e">
        <f>#REF!+#REF!+L74+#REF!+#REF!</f>
        <v>#REF!</v>
      </c>
      <c r="M33" s="182"/>
      <c r="N33" s="183"/>
      <c r="O33" s="25">
        <f t="shared" si="12"/>
        <v>0</v>
      </c>
      <c r="P33" s="26">
        <f t="shared" si="2"/>
        <v>0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35">
        <v>40000</v>
      </c>
      <c r="J34" s="35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-2356932</v>
      </c>
      <c r="N34" s="23">
        <f t="shared" si="16"/>
        <v>0</v>
      </c>
      <c r="O34" s="25">
        <f t="shared" si="12"/>
        <v>0</v>
      </c>
      <c r="P34" s="26">
        <f t="shared" si="2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35">
        <v>0</v>
      </c>
      <c r="J35" s="100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2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35">
        <v>0</v>
      </c>
      <c r="J36" s="100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2"/>
        <v>#DIV/0!</v>
      </c>
      <c r="Q36" s="142"/>
      <c r="R36" s="143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35">
        <v>150000</v>
      </c>
      <c r="J37" s="100">
        <v>0</v>
      </c>
      <c r="K37" s="23">
        <f t="shared" si="15"/>
        <v>150000</v>
      </c>
      <c r="L37" s="38">
        <v>1178466</v>
      </c>
      <c r="M37" s="182">
        <f>J37-L37</f>
        <v>-1178466</v>
      </c>
      <c r="N37" s="183"/>
      <c r="O37" s="25">
        <f t="shared" si="12"/>
        <v>0</v>
      </c>
      <c r="P37" s="26">
        <f t="shared" si="2"/>
        <v>0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35">
        <v>90000</v>
      </c>
      <c r="J38" s="100">
        <v>0</v>
      </c>
      <c r="K38" s="23">
        <f t="shared" si="15"/>
        <v>90000</v>
      </c>
      <c r="L38" s="38">
        <v>1178466</v>
      </c>
      <c r="M38" s="182">
        <f>J38-L38</f>
        <v>-1178466</v>
      </c>
      <c r="N38" s="183"/>
      <c r="O38" s="25">
        <f t="shared" si="12"/>
        <v>0</v>
      </c>
      <c r="P38" s="26">
        <f t="shared" si="2"/>
        <v>0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35">
        <v>786217.36</v>
      </c>
      <c r="J39" s="100">
        <v>0</v>
      </c>
      <c r="K39" s="23">
        <f t="shared" si="15"/>
        <v>786217.36</v>
      </c>
      <c r="L39" s="38"/>
      <c r="M39" s="182"/>
      <c r="N39" s="183"/>
      <c r="O39" s="25">
        <f t="shared" si="12"/>
        <v>0</v>
      </c>
      <c r="P39" s="26">
        <f t="shared" si="2"/>
        <v>0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36">
        <v>40000</v>
      </c>
      <c r="J40" s="100">
        <v>0</v>
      </c>
      <c r="K40" s="23">
        <f>I40-J40</f>
        <v>40000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0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0</v>
      </c>
      <c r="K41" s="17">
        <f>K42+K44+K45+K43</f>
        <v>601455.84</v>
      </c>
      <c r="L41" s="42"/>
      <c r="M41" s="186"/>
      <c r="N41" s="187"/>
      <c r="O41" s="20">
        <f>I41-K41-J41</f>
        <v>0</v>
      </c>
      <c r="P41" s="21">
        <f>J41/I41*100</f>
        <v>0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35">
        <v>469250.7</v>
      </c>
      <c r="J42" s="35">
        <v>0</v>
      </c>
      <c r="K42" s="35">
        <f>I42-J42</f>
        <v>469250.7</v>
      </c>
      <c r="L42" s="45"/>
      <c r="M42" s="188"/>
      <c r="N42" s="189"/>
      <c r="O42" s="25">
        <f>I42-K42-J42</f>
        <v>0</v>
      </c>
      <c r="P42" s="26">
        <f t="shared" si="2"/>
        <v>0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35">
        <v>75871.14</v>
      </c>
      <c r="J43" s="100">
        <v>0</v>
      </c>
      <c r="K43" s="35">
        <f>I43-J43</f>
        <v>75871.14</v>
      </c>
      <c r="L43" s="45"/>
      <c r="M43" s="188"/>
      <c r="N43" s="189"/>
      <c r="O43" s="25"/>
      <c r="P43" s="26">
        <f t="shared" si="2"/>
        <v>0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35">
        <v>4500</v>
      </c>
      <c r="J44" s="100">
        <v>0</v>
      </c>
      <c r="K44" s="35">
        <f t="shared" ref="K44:K45" si="17">I44-J44</f>
        <v>4500</v>
      </c>
      <c r="L44" s="45"/>
      <c r="M44" s="188"/>
      <c r="N44" s="189"/>
      <c r="O44" s="25">
        <f>I44-K44-J44</f>
        <v>0</v>
      </c>
      <c r="P44" s="26">
        <f t="shared" si="2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35">
        <v>51834</v>
      </c>
      <c r="J45" s="35">
        <v>0</v>
      </c>
      <c r="K45" s="35">
        <f t="shared" si="17"/>
        <v>51834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2"/>
        <v>0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0</v>
      </c>
      <c r="K46" s="17">
        <f>K47</f>
        <v>1250000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2"/>
        <v>0</v>
      </c>
      <c r="Q46" s="336"/>
      <c r="R46" s="33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35">
        <v>1250000</v>
      </c>
      <c r="J47" s="35">
        <v>0</v>
      </c>
      <c r="K47" s="23">
        <f>I47-J47</f>
        <v>1250000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2"/>
        <v>0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114593.67</v>
      </c>
      <c r="K48" s="17">
        <f t="shared" si="21"/>
        <v>11329959.130000001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1.0012944324045583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35">
        <v>11444552.800000001</v>
      </c>
      <c r="J49" s="100">
        <v>114593.67</v>
      </c>
      <c r="K49" s="36">
        <f>I49-J49</f>
        <v>11329959.130000001</v>
      </c>
      <c r="L49" s="37"/>
      <c r="M49" s="182"/>
      <c r="N49" s="183"/>
      <c r="O49" s="25">
        <f>I49-J49-K49</f>
        <v>0</v>
      </c>
      <c r="P49" s="26">
        <f>J49/I49*100</f>
        <v>1.0012944324045583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0</v>
      </c>
      <c r="K50" s="17">
        <f t="shared" si="23"/>
        <v>13369.02</v>
      </c>
      <c r="L50" s="42"/>
      <c r="M50" s="186"/>
      <c r="N50" s="187"/>
      <c r="O50" s="20">
        <f>I50-J50-K50</f>
        <v>0</v>
      </c>
      <c r="P50" s="21">
        <f t="shared" si="2"/>
        <v>0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35">
        <v>10268.07</v>
      </c>
      <c r="J51" s="100">
        <v>0</v>
      </c>
      <c r="K51" s="35">
        <f>I51-J51</f>
        <v>10268.07</v>
      </c>
      <c r="L51" s="93"/>
      <c r="M51" s="188"/>
      <c r="N51" s="189"/>
      <c r="O51" s="25">
        <f t="shared" ref="O51:O52" si="24">I51-J51-K51</f>
        <v>0</v>
      </c>
      <c r="P51" s="26">
        <f t="shared" si="2"/>
        <v>0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35">
        <v>3100.95</v>
      </c>
      <c r="J52" s="100">
        <v>0</v>
      </c>
      <c r="K52" s="35">
        <f>I52-J52</f>
        <v>3100.95</v>
      </c>
      <c r="L52" s="93"/>
      <c r="M52" s="188"/>
      <c r="N52" s="189"/>
      <c r="O52" s="25">
        <f t="shared" si="24"/>
        <v>0</v>
      </c>
      <c r="P52" s="26">
        <f t="shared" si="2"/>
        <v>0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0</v>
      </c>
      <c r="K53" s="17">
        <f t="shared" si="25"/>
        <v>88350.62</v>
      </c>
      <c r="L53" s="42"/>
      <c r="M53" s="186"/>
      <c r="N53" s="187"/>
      <c r="O53" s="20">
        <f>I53-J53-K53</f>
        <v>0</v>
      </c>
      <c r="P53" s="21">
        <f t="shared" si="2"/>
        <v>0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35">
        <v>67857.62</v>
      </c>
      <c r="J54" s="100">
        <v>0</v>
      </c>
      <c r="K54" s="35">
        <f>I54-J54</f>
        <v>67857.62</v>
      </c>
      <c r="L54" s="93"/>
      <c r="M54" s="188"/>
      <c r="N54" s="189"/>
      <c r="O54" s="25">
        <f t="shared" ref="O54:O55" si="26">I54-J54-K54</f>
        <v>0</v>
      </c>
      <c r="P54" s="26">
        <f t="shared" si="2"/>
        <v>0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35">
        <v>20493</v>
      </c>
      <c r="J55" s="100">
        <v>0</v>
      </c>
      <c r="K55" s="35">
        <f>I55-J55</f>
        <v>20493</v>
      </c>
      <c r="L55" s="93"/>
      <c r="M55" s="188"/>
      <c r="N55" s="189"/>
      <c r="O55" s="25">
        <f t="shared" si="26"/>
        <v>0</v>
      </c>
      <c r="P55" s="26">
        <f t="shared" si="2"/>
        <v>0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2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2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2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2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2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I62+I63+I64+I65+I66</f>
        <v>208651</v>
      </c>
      <c r="J61" s="17">
        <f t="shared" ref="J61:K61" si="30">J62+J63+J64+J65+J66</f>
        <v>0</v>
      </c>
      <c r="K61" s="17">
        <f t="shared" si="30"/>
        <v>208651</v>
      </c>
      <c r="L61" s="42"/>
      <c r="M61" s="186"/>
      <c r="N61" s="187"/>
      <c r="O61" s="20">
        <f>I61-J61-K61</f>
        <v>0</v>
      </c>
      <c r="P61" s="21">
        <f>J61/I61*100</f>
        <v>0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2" customFormat="1" ht="18.75" x14ac:dyDescent="0.25">
      <c r="A62" s="191" t="s">
        <v>43</v>
      </c>
      <c r="B62" s="22" t="s">
        <v>9</v>
      </c>
      <c r="C62" s="22" t="s">
        <v>12</v>
      </c>
      <c r="D62" s="22" t="s">
        <v>12</v>
      </c>
      <c r="E62" s="22" t="s">
        <v>134</v>
      </c>
      <c r="F62" s="22" t="s">
        <v>22</v>
      </c>
      <c r="G62" s="22" t="s">
        <v>44</v>
      </c>
      <c r="H62" s="22"/>
      <c r="I62" s="35">
        <v>190000</v>
      </c>
      <c r="J62" s="100">
        <v>0</v>
      </c>
      <c r="K62" s="34">
        <f>I62-J62</f>
        <v>190000</v>
      </c>
      <c r="L62" s="34" t="e">
        <f>#REF!</f>
        <v>#REF!</v>
      </c>
      <c r="M62" s="34" t="e">
        <f>#REF!</f>
        <v>#REF!</v>
      </c>
      <c r="N62" s="34" t="e">
        <f>#REF!</f>
        <v>#REF!</v>
      </c>
      <c r="O62" s="25">
        <f t="shared" ref="O62:O64" si="31">I62-J62-K62</f>
        <v>0</v>
      </c>
      <c r="P62" s="26">
        <f t="shared" ref="P62:P66" si="32">J62/I62*100</f>
        <v>0</v>
      </c>
      <c r="Q62" s="325"/>
      <c r="R62" s="326"/>
      <c r="S62" s="1"/>
      <c r="T62" s="15"/>
      <c r="U62" s="15"/>
      <c r="V62" s="15"/>
      <c r="W62" s="15"/>
      <c r="X62" s="15"/>
      <c r="Y62" s="15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2" customFormat="1" ht="37.5" x14ac:dyDescent="0.25">
      <c r="A63" s="175" t="s">
        <v>106</v>
      </c>
      <c r="B63" s="22" t="s">
        <v>9</v>
      </c>
      <c r="C63" s="22" t="s">
        <v>12</v>
      </c>
      <c r="D63" s="22" t="s">
        <v>14</v>
      </c>
      <c r="E63" s="22" t="s">
        <v>134</v>
      </c>
      <c r="F63" s="22" t="s">
        <v>22</v>
      </c>
      <c r="G63" s="22" t="s">
        <v>101</v>
      </c>
      <c r="H63" s="22"/>
      <c r="I63" s="35">
        <v>5000</v>
      </c>
      <c r="J63" s="35">
        <v>0</v>
      </c>
      <c r="K63" s="34">
        <f t="shared" ref="K63:K66" si="33">I63-J63</f>
        <v>5000</v>
      </c>
      <c r="L63" s="38">
        <v>107900</v>
      </c>
      <c r="M63" s="182"/>
      <c r="N63" s="183"/>
      <c r="O63" s="25">
        <f t="shared" si="31"/>
        <v>0</v>
      </c>
      <c r="P63" s="26">
        <f t="shared" si="32"/>
        <v>0</v>
      </c>
      <c r="Q63" s="325"/>
      <c r="R63" s="32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8.75" x14ac:dyDescent="0.25">
      <c r="A64" s="99" t="s">
        <v>113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114</v>
      </c>
      <c r="H64" s="22"/>
      <c r="I64" s="35">
        <v>0</v>
      </c>
      <c r="J64" s="100">
        <v>0</v>
      </c>
      <c r="K64" s="34">
        <f t="shared" si="33"/>
        <v>0</v>
      </c>
      <c r="L64" s="45"/>
      <c r="M64" s="188"/>
      <c r="N64" s="189"/>
      <c r="O64" s="25">
        <f t="shared" si="31"/>
        <v>0</v>
      </c>
      <c r="P64" s="26" t="e">
        <f t="shared" si="32"/>
        <v>#DIV/0!</v>
      </c>
      <c r="Q64" s="325"/>
      <c r="R64" s="326"/>
    </row>
    <row r="65" spans="1:50" s="15" customFormat="1" ht="37.5" x14ac:dyDescent="0.25">
      <c r="A65" s="175" t="s">
        <v>109</v>
      </c>
      <c r="B65" s="22" t="s">
        <v>9</v>
      </c>
      <c r="C65" s="22" t="s">
        <v>12</v>
      </c>
      <c r="D65" s="22" t="s">
        <v>12</v>
      </c>
      <c r="E65" s="22" t="s">
        <v>134</v>
      </c>
      <c r="F65" s="22" t="s">
        <v>22</v>
      </c>
      <c r="G65" s="22" t="s">
        <v>104</v>
      </c>
      <c r="H65" s="22"/>
      <c r="I65" s="35">
        <v>13651</v>
      </c>
      <c r="J65" s="100">
        <v>0</v>
      </c>
      <c r="K65" s="34">
        <f t="shared" si="33"/>
        <v>13651</v>
      </c>
      <c r="L65" s="38">
        <v>1178466</v>
      </c>
      <c r="M65" s="182">
        <f>J65-L65</f>
        <v>-1178466</v>
      </c>
      <c r="N65" s="183"/>
      <c r="O65" s="25">
        <f>I65-J65-K65</f>
        <v>0</v>
      </c>
      <c r="P65" s="26">
        <v>0</v>
      </c>
      <c r="Q65" s="325"/>
      <c r="R65" s="326"/>
    </row>
    <row r="66" spans="1:50" ht="37.5" x14ac:dyDescent="0.25">
      <c r="A66" s="175" t="s">
        <v>110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105</v>
      </c>
      <c r="H66" s="22"/>
      <c r="I66" s="35">
        <v>0</v>
      </c>
      <c r="J66" s="100">
        <v>0</v>
      </c>
      <c r="K66" s="34">
        <f t="shared" si="33"/>
        <v>0</v>
      </c>
      <c r="L66" s="45" t="e">
        <f>L101</f>
        <v>#REF!</v>
      </c>
      <c r="M66" s="192"/>
      <c r="N66" s="193"/>
      <c r="O66" s="25">
        <f>I66-J66-K66</f>
        <v>0</v>
      </c>
      <c r="P66" s="26" t="e">
        <f t="shared" si="32"/>
        <v>#DIV/0!</v>
      </c>
      <c r="Q66" s="325"/>
      <c r="R66" s="326"/>
    </row>
    <row r="67" spans="1:50" ht="121.5" customHeight="1" x14ac:dyDescent="0.25">
      <c r="A67" s="190" t="s">
        <v>64</v>
      </c>
      <c r="B67" s="41" t="s">
        <v>9</v>
      </c>
      <c r="C67" s="41" t="s">
        <v>12</v>
      </c>
      <c r="D67" s="41" t="s">
        <v>12</v>
      </c>
      <c r="E67" s="41" t="s">
        <v>65</v>
      </c>
      <c r="F67" s="41"/>
      <c r="G67" s="41"/>
      <c r="H67" s="41"/>
      <c r="I67" s="17">
        <f>I68</f>
        <v>20161.89</v>
      </c>
      <c r="J67" s="17">
        <f>J68</f>
        <v>0</v>
      </c>
      <c r="K67" s="17">
        <f>K68</f>
        <v>20161.89</v>
      </c>
      <c r="L67" s="42"/>
      <c r="M67" s="186"/>
      <c r="N67" s="187"/>
      <c r="O67" s="20">
        <f>I67-J67-K67</f>
        <v>0</v>
      </c>
      <c r="P67" s="21">
        <f>J67/I67*100</f>
        <v>0</v>
      </c>
      <c r="Q67" s="325"/>
      <c r="R67" s="326"/>
    </row>
    <row r="68" spans="1:50" ht="40.5" customHeight="1" x14ac:dyDescent="0.25">
      <c r="A68" s="175" t="s">
        <v>109</v>
      </c>
      <c r="B68" s="22" t="s">
        <v>9</v>
      </c>
      <c r="C68" s="22" t="s">
        <v>12</v>
      </c>
      <c r="D68" s="22" t="s">
        <v>12</v>
      </c>
      <c r="E68" s="22" t="s">
        <v>66</v>
      </c>
      <c r="F68" s="22" t="s">
        <v>22</v>
      </c>
      <c r="G68" s="22" t="s">
        <v>104</v>
      </c>
      <c r="H68" s="22"/>
      <c r="I68" s="35">
        <v>20161.89</v>
      </c>
      <c r="J68" s="100">
        <v>0</v>
      </c>
      <c r="K68" s="34">
        <f>I68-J68</f>
        <v>20161.89</v>
      </c>
      <c r="L68" s="34" t="e">
        <f>#REF!</f>
        <v>#REF!</v>
      </c>
      <c r="M68" s="34" t="e">
        <f>#REF!</f>
        <v>#REF!</v>
      </c>
      <c r="N68" s="34" t="e">
        <f>#REF!</f>
        <v>#REF!</v>
      </c>
      <c r="O68" s="25">
        <f t="shared" ref="O68" si="34">I68-J68-K68</f>
        <v>0</v>
      </c>
      <c r="P68" s="26">
        <f t="shared" ref="P68" si="35">J68/I68*100</f>
        <v>0</v>
      </c>
      <c r="Q68" s="325"/>
      <c r="R68" s="326"/>
    </row>
    <row r="69" spans="1:50" s="2" customFormat="1" ht="20.25" customHeight="1" x14ac:dyDescent="0.3">
      <c r="A69" s="333" t="s">
        <v>54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40"/>
      <c r="R69" s="340"/>
    </row>
    <row r="70" spans="1:50" ht="19.5" x14ac:dyDescent="0.25">
      <c r="A70" s="173" t="s">
        <v>11</v>
      </c>
      <c r="B70" s="8" t="s">
        <v>9</v>
      </c>
      <c r="C70" s="8" t="s">
        <v>12</v>
      </c>
      <c r="D70" s="8"/>
      <c r="E70" s="8"/>
      <c r="F70" s="8"/>
      <c r="G70" s="8"/>
      <c r="H70" s="8"/>
      <c r="I70" s="9">
        <f t="shared" ref="I70:N70" si="36">I71+I101</f>
        <v>76959910</v>
      </c>
      <c r="J70" s="9">
        <f t="shared" si="36"/>
        <v>1270286.1399999999</v>
      </c>
      <c r="K70" s="9">
        <f t="shared" si="36"/>
        <v>75689623.859999999</v>
      </c>
      <c r="L70" s="9" t="e">
        <f t="shared" si="36"/>
        <v>#REF!</v>
      </c>
      <c r="M70" s="9" t="e">
        <f t="shared" si="36"/>
        <v>#REF!</v>
      </c>
      <c r="N70" s="9" t="e">
        <f t="shared" si="36"/>
        <v>#REF!</v>
      </c>
      <c r="O70" s="11">
        <f>I70-J70-K70</f>
        <v>0</v>
      </c>
      <c r="P70" s="12">
        <f>J70/I70*100</f>
        <v>1.6505816339961934</v>
      </c>
      <c r="Q70" s="331"/>
      <c r="R70" s="331"/>
    </row>
    <row r="71" spans="1:50" s="15" customFormat="1" ht="19.5" x14ac:dyDescent="0.25">
      <c r="A71" s="174" t="s">
        <v>13</v>
      </c>
      <c r="B71" s="13" t="s">
        <v>9</v>
      </c>
      <c r="C71" s="13" t="s">
        <v>12</v>
      </c>
      <c r="D71" s="13" t="s">
        <v>14</v>
      </c>
      <c r="E71" s="13"/>
      <c r="F71" s="13"/>
      <c r="G71" s="13"/>
      <c r="H71" s="13"/>
      <c r="I71" s="157">
        <f>I72+I89+I92+I98+I95</f>
        <v>76576834</v>
      </c>
      <c r="J71" s="157">
        <f>J72+J89+J92+J98+J95</f>
        <v>1270286.1399999999</v>
      </c>
      <c r="K71" s="14">
        <f>K72+K89+K92+K98+K95</f>
        <v>75306547.859999999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7">
        <f t="shared" ref="I71:O74" si="37">O72</f>
        <v>0</v>
      </c>
      <c r="P71" s="48">
        <f>J71/I71*100</f>
        <v>1.658838676981605</v>
      </c>
      <c r="Q71" s="331"/>
      <c r="R71" s="331"/>
    </row>
    <row r="72" spans="1:50" s="19" customFormat="1" ht="37.5" x14ac:dyDescent="0.25">
      <c r="A72" s="40" t="s">
        <v>15</v>
      </c>
      <c r="B72" s="41" t="s">
        <v>9</v>
      </c>
      <c r="C72" s="41" t="s">
        <v>12</v>
      </c>
      <c r="D72" s="41" t="s">
        <v>14</v>
      </c>
      <c r="E72" s="41" t="s">
        <v>55</v>
      </c>
      <c r="F72" s="41"/>
      <c r="G72" s="41"/>
      <c r="H72" s="41"/>
      <c r="I72" s="17">
        <f>I73</f>
        <v>73065724.890000001</v>
      </c>
      <c r="J72" s="17">
        <f>J73</f>
        <v>1262983.1399999999</v>
      </c>
      <c r="K72" s="17">
        <f t="shared" si="37"/>
        <v>71802741.75</v>
      </c>
      <c r="L72" s="17">
        <f t="shared" si="37"/>
        <v>0</v>
      </c>
      <c r="M72" s="17">
        <f t="shared" si="37"/>
        <v>0</v>
      </c>
      <c r="N72" s="17">
        <f t="shared" si="37"/>
        <v>0</v>
      </c>
      <c r="O72" s="17">
        <f t="shared" si="37"/>
        <v>0</v>
      </c>
      <c r="P72" s="21">
        <f t="shared" ref="P72:P100" si="38">J72/I72*100</f>
        <v>1.7285575992045701</v>
      </c>
      <c r="Q72" s="346"/>
      <c r="R72" s="346"/>
    </row>
    <row r="73" spans="1:50" s="15" customFormat="1" ht="56.25" x14ac:dyDescent="0.25">
      <c r="A73" s="194" t="s">
        <v>17</v>
      </c>
      <c r="B73" s="27" t="s">
        <v>9</v>
      </c>
      <c r="C73" s="27" t="s">
        <v>12</v>
      </c>
      <c r="D73" s="27" t="s">
        <v>14</v>
      </c>
      <c r="E73" s="27" t="s">
        <v>55</v>
      </c>
      <c r="F73" s="27"/>
      <c r="G73" s="27"/>
      <c r="H73" s="27"/>
      <c r="I73" s="28">
        <f t="shared" si="37"/>
        <v>73065724.890000001</v>
      </c>
      <c r="J73" s="156">
        <f>J74</f>
        <v>1262983.1399999999</v>
      </c>
      <c r="K73" s="44">
        <f t="shared" si="37"/>
        <v>71802741.75</v>
      </c>
      <c r="L73" s="24"/>
      <c r="M73" s="184"/>
      <c r="N73" s="185"/>
      <c r="O73" s="30">
        <f t="shared" ref="O73:O103" si="39">I73-J73-K73</f>
        <v>0</v>
      </c>
      <c r="P73" s="31">
        <f t="shared" si="38"/>
        <v>1.7285575992045701</v>
      </c>
      <c r="Q73" s="331"/>
      <c r="R73" s="331"/>
      <c r="S73" s="1"/>
      <c r="T73" s="1"/>
      <c r="U73" s="1"/>
      <c r="V73" s="1"/>
      <c r="W73" s="1"/>
      <c r="X73" s="1"/>
      <c r="Y73" s="1"/>
    </row>
    <row r="74" spans="1:50" s="15" customFormat="1" ht="18.75" x14ac:dyDescent="0.25">
      <c r="A74" s="99" t="s">
        <v>19</v>
      </c>
      <c r="B74" s="22" t="s">
        <v>9</v>
      </c>
      <c r="C74" s="22" t="s">
        <v>12</v>
      </c>
      <c r="D74" s="22" t="s">
        <v>14</v>
      </c>
      <c r="E74" s="22" t="s">
        <v>55</v>
      </c>
      <c r="F74" s="22" t="s">
        <v>20</v>
      </c>
      <c r="G74" s="22"/>
      <c r="H74" s="22"/>
      <c r="I74" s="28">
        <f t="shared" si="37"/>
        <v>73065724.890000001</v>
      </c>
      <c r="J74" s="156">
        <f t="shared" si="37"/>
        <v>1262983.1399999999</v>
      </c>
      <c r="K74" s="44">
        <f t="shared" si="37"/>
        <v>71802741.75</v>
      </c>
      <c r="L74" s="38"/>
      <c r="M74" s="184"/>
      <c r="N74" s="185"/>
      <c r="O74" s="30">
        <f t="shared" si="39"/>
        <v>0</v>
      </c>
      <c r="P74" s="31">
        <f t="shared" si="38"/>
        <v>1.7285575992045701</v>
      </c>
      <c r="Q74" s="331"/>
      <c r="R74" s="331"/>
      <c r="S74" s="1"/>
      <c r="T74" s="1"/>
      <c r="U74" s="1"/>
      <c r="V74" s="1"/>
      <c r="W74" s="1"/>
      <c r="X74" s="1"/>
      <c r="Y74" s="1"/>
    </row>
    <row r="75" spans="1:50" s="2" customFormat="1" ht="56.25" x14ac:dyDescent="0.25">
      <c r="A75" s="99" t="s">
        <v>21</v>
      </c>
      <c r="B75" s="22" t="s">
        <v>9</v>
      </c>
      <c r="C75" s="22" t="s">
        <v>12</v>
      </c>
      <c r="D75" s="22" t="s">
        <v>14</v>
      </c>
      <c r="E75" s="22" t="s">
        <v>55</v>
      </c>
      <c r="F75" s="22" t="s">
        <v>22</v>
      </c>
      <c r="G75" s="22"/>
      <c r="H75" s="22"/>
      <c r="I75" s="28">
        <f t="shared" ref="I75:N75" si="40">I76+I86</f>
        <v>73065724.890000001</v>
      </c>
      <c r="J75" s="28">
        <f t="shared" si="40"/>
        <v>1262983.1399999999</v>
      </c>
      <c r="K75" s="33">
        <f t="shared" si="40"/>
        <v>71802741.75</v>
      </c>
      <c r="L75" s="33" t="e">
        <f t="shared" si="40"/>
        <v>#REF!</v>
      </c>
      <c r="M75" s="33" t="e">
        <f t="shared" si="40"/>
        <v>#REF!</v>
      </c>
      <c r="N75" s="33" t="e">
        <f t="shared" si="40"/>
        <v>#REF!</v>
      </c>
      <c r="O75" s="30">
        <f t="shared" si="39"/>
        <v>0</v>
      </c>
      <c r="P75" s="31">
        <f t="shared" si="38"/>
        <v>1.7285575992045701</v>
      </c>
      <c r="Q75" s="331"/>
      <c r="R75" s="33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8.75" x14ac:dyDescent="0.25">
      <c r="A76" s="99" t="s">
        <v>23</v>
      </c>
      <c r="B76" s="22" t="s">
        <v>9</v>
      </c>
      <c r="C76" s="22" t="s">
        <v>12</v>
      </c>
      <c r="D76" s="22" t="s">
        <v>14</v>
      </c>
      <c r="E76" s="22" t="s">
        <v>55</v>
      </c>
      <c r="F76" s="22" t="s">
        <v>22</v>
      </c>
      <c r="G76" s="22" t="s">
        <v>24</v>
      </c>
      <c r="H76" s="22"/>
      <c r="I76" s="28">
        <f>I77+I84+I83+I81</f>
        <v>69842324.890000001</v>
      </c>
      <c r="J76" s="28">
        <f>J77+J84+J83+J81</f>
        <v>1262983.1399999999</v>
      </c>
      <c r="K76" s="33">
        <f>K77+K84+K83+K81</f>
        <v>68579341.75</v>
      </c>
      <c r="L76" s="33" t="e">
        <f>L77+L84+#REF!</f>
        <v>#REF!</v>
      </c>
      <c r="M76" s="33" t="e">
        <f>M77+M84+#REF!</f>
        <v>#REF!</v>
      </c>
      <c r="N76" s="33" t="e">
        <f>N77+N84+#REF!</f>
        <v>#REF!</v>
      </c>
      <c r="O76" s="30">
        <f t="shared" si="39"/>
        <v>0</v>
      </c>
      <c r="P76" s="31">
        <f t="shared" si="38"/>
        <v>1.808334905788386</v>
      </c>
      <c r="Q76" s="331"/>
      <c r="R76" s="331"/>
    </row>
    <row r="77" spans="1:50" ht="18.75" x14ac:dyDescent="0.25">
      <c r="A77" s="99" t="s">
        <v>25</v>
      </c>
      <c r="B77" s="22" t="s">
        <v>9</v>
      </c>
      <c r="C77" s="22" t="s">
        <v>12</v>
      </c>
      <c r="D77" s="22" t="s">
        <v>14</v>
      </c>
      <c r="E77" s="22" t="s">
        <v>55</v>
      </c>
      <c r="F77" s="22" t="s">
        <v>22</v>
      </c>
      <c r="G77" s="22" t="s">
        <v>26</v>
      </c>
      <c r="H77" s="22"/>
      <c r="I77" s="28">
        <f>I78+I79+I80</f>
        <v>68906324.890000001</v>
      </c>
      <c r="J77" s="28">
        <f t="shared" ref="J77:K77" si="41">J78+J79+J80</f>
        <v>1254758.21</v>
      </c>
      <c r="K77" s="33">
        <f t="shared" si="41"/>
        <v>67651566.680000007</v>
      </c>
      <c r="L77" s="33" t="e">
        <f>L78+#REF!+L79</f>
        <v>#REF!</v>
      </c>
      <c r="M77" s="33" t="e">
        <f>M78+#REF!+M79</f>
        <v>#REF!</v>
      </c>
      <c r="N77" s="33" t="e">
        <f>N78+#REF!+N79</f>
        <v>#REF!</v>
      </c>
      <c r="O77" s="30">
        <f t="shared" si="39"/>
        <v>0</v>
      </c>
      <c r="P77" s="31">
        <f t="shared" si="38"/>
        <v>1.8209623165987425</v>
      </c>
      <c r="Q77" s="331"/>
      <c r="R77" s="331"/>
    </row>
    <row r="78" spans="1:50" ht="18.75" x14ac:dyDescent="0.25">
      <c r="A78" s="99" t="s">
        <v>27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22</v>
      </c>
      <c r="G78" s="22" t="s">
        <v>28</v>
      </c>
      <c r="H78" s="22"/>
      <c r="I78" s="35">
        <v>52865502.990000002</v>
      </c>
      <c r="J78" s="35">
        <v>1254758.1599999999</v>
      </c>
      <c r="K78" s="23">
        <f>I78-J78</f>
        <v>51610744.830000006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5">
        <f t="shared" si="39"/>
        <v>0</v>
      </c>
      <c r="P78" s="26">
        <f t="shared" si="38"/>
        <v>2.3734913866937934</v>
      </c>
      <c r="Q78" s="331"/>
      <c r="R78" s="331"/>
    </row>
    <row r="79" spans="1:50" ht="18.75" x14ac:dyDescent="0.25">
      <c r="A79" s="175" t="s">
        <v>29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 t="s">
        <v>30</v>
      </c>
      <c r="H79" s="22"/>
      <c r="I79" s="35">
        <v>9000</v>
      </c>
      <c r="J79" s="35">
        <v>0</v>
      </c>
      <c r="K79" s="23">
        <f t="shared" ref="K79" si="42">I79-J79</f>
        <v>9000</v>
      </c>
      <c r="L79" s="23" t="e">
        <f>#REF!+#REF!</f>
        <v>#REF!</v>
      </c>
      <c r="M79" s="23" t="e">
        <f>#REF!+#REF!</f>
        <v>#REF!</v>
      </c>
      <c r="N79" s="23" t="e">
        <f>#REF!+#REF!</f>
        <v>#REF!</v>
      </c>
      <c r="O79" s="25">
        <f t="shared" si="39"/>
        <v>0</v>
      </c>
      <c r="P79" s="26">
        <f t="shared" si="38"/>
        <v>0</v>
      </c>
      <c r="Q79" s="331"/>
      <c r="R79" s="331"/>
    </row>
    <row r="80" spans="1:50" ht="21.75" customHeight="1" x14ac:dyDescent="0.25">
      <c r="A80" s="175" t="s">
        <v>31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32</v>
      </c>
      <c r="H80" s="22"/>
      <c r="I80" s="35">
        <v>16031821.9</v>
      </c>
      <c r="J80" s="100">
        <v>0.05</v>
      </c>
      <c r="K80" s="23">
        <f>I80-J80</f>
        <v>16031821.85</v>
      </c>
      <c r="L80" s="24" t="e">
        <f>#REF!</f>
        <v>#REF!</v>
      </c>
      <c r="M80" s="182"/>
      <c r="N80" s="183"/>
      <c r="O80" s="25">
        <f t="shared" si="39"/>
        <v>0</v>
      </c>
      <c r="P80" s="26">
        <f t="shared" si="38"/>
        <v>3.1187971218667296E-7</v>
      </c>
      <c r="Q80" s="343"/>
      <c r="R80" s="343"/>
    </row>
    <row r="81" spans="1:50" ht="21.75" customHeight="1" x14ac:dyDescent="0.25">
      <c r="A81" s="179" t="s">
        <v>33</v>
      </c>
      <c r="B81" s="27" t="s">
        <v>9</v>
      </c>
      <c r="C81" s="27" t="s">
        <v>12</v>
      </c>
      <c r="D81" s="27" t="s">
        <v>14</v>
      </c>
      <c r="E81" s="27" t="s">
        <v>55</v>
      </c>
      <c r="F81" s="27" t="s">
        <v>22</v>
      </c>
      <c r="G81" s="27" t="s">
        <v>34</v>
      </c>
      <c r="H81" s="22"/>
      <c r="I81" s="28">
        <f>I82</f>
        <v>186000</v>
      </c>
      <c r="J81" s="156">
        <f>J82</f>
        <v>6550</v>
      </c>
      <c r="K81" s="33">
        <f t="shared" ref="K81:K82" si="43">I81-J81</f>
        <v>179450</v>
      </c>
      <c r="L81" s="92"/>
      <c r="M81" s="184"/>
      <c r="N81" s="185"/>
      <c r="O81" s="30">
        <f t="shared" si="39"/>
        <v>0</v>
      </c>
      <c r="P81" s="31">
        <f t="shared" si="38"/>
        <v>3.521505376344086</v>
      </c>
      <c r="Q81" s="344"/>
      <c r="R81" s="345"/>
    </row>
    <row r="82" spans="1:50" ht="24" customHeight="1" x14ac:dyDescent="0.25">
      <c r="A82" s="99" t="s">
        <v>43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44</v>
      </c>
      <c r="H82" s="22"/>
      <c r="I82" s="35">
        <v>186000</v>
      </c>
      <c r="J82" s="100">
        <v>6550</v>
      </c>
      <c r="K82" s="23">
        <f t="shared" si="43"/>
        <v>179450</v>
      </c>
      <c r="L82" s="24"/>
      <c r="M82" s="182"/>
      <c r="N82" s="183"/>
      <c r="O82" s="25">
        <f t="shared" si="39"/>
        <v>0</v>
      </c>
      <c r="P82" s="26">
        <f t="shared" si="38"/>
        <v>3.521505376344086</v>
      </c>
      <c r="Q82" s="344"/>
      <c r="R82" s="345"/>
    </row>
    <row r="83" spans="1:50" ht="42" customHeight="1" x14ac:dyDescent="0.25">
      <c r="A83" s="179" t="s">
        <v>93</v>
      </c>
      <c r="B83" s="27" t="s">
        <v>9</v>
      </c>
      <c r="C83" s="27" t="s">
        <v>12</v>
      </c>
      <c r="D83" s="27" t="s">
        <v>14</v>
      </c>
      <c r="E83" s="27" t="s">
        <v>55</v>
      </c>
      <c r="F83" s="27" t="s">
        <v>22</v>
      </c>
      <c r="G83" s="27" t="s">
        <v>94</v>
      </c>
      <c r="H83" s="27"/>
      <c r="I83" s="28">
        <v>220000</v>
      </c>
      <c r="J83" s="156">
        <v>1674.93</v>
      </c>
      <c r="K83" s="28">
        <f>I83-J83</f>
        <v>218325.07</v>
      </c>
      <c r="L83" s="94">
        <v>802458</v>
      </c>
      <c r="M83" s="184">
        <f>L83</f>
        <v>802458</v>
      </c>
      <c r="N83" s="185"/>
      <c r="O83" s="30">
        <f>I83-J83-K83</f>
        <v>0</v>
      </c>
      <c r="P83" s="31">
        <v>0</v>
      </c>
      <c r="Q83" s="344"/>
      <c r="R83" s="345"/>
    </row>
    <row r="84" spans="1:50" ht="18.75" x14ac:dyDescent="0.25">
      <c r="A84" s="179" t="s">
        <v>33</v>
      </c>
      <c r="B84" s="27" t="s">
        <v>9</v>
      </c>
      <c r="C84" s="27" t="s">
        <v>12</v>
      </c>
      <c r="D84" s="27" t="s">
        <v>14</v>
      </c>
      <c r="E84" s="27" t="s">
        <v>55</v>
      </c>
      <c r="F84" s="27" t="s">
        <v>22</v>
      </c>
      <c r="G84" s="27" t="s">
        <v>34</v>
      </c>
      <c r="H84" s="27"/>
      <c r="I84" s="28">
        <f>I85</f>
        <v>530000</v>
      </c>
      <c r="J84" s="28">
        <f t="shared" ref="J84:P84" si="44">J85</f>
        <v>0</v>
      </c>
      <c r="K84" s="28">
        <f t="shared" si="44"/>
        <v>530000</v>
      </c>
      <c r="L84" s="28" t="e">
        <f t="shared" si="44"/>
        <v>#REF!</v>
      </c>
      <c r="M84" s="28" t="e">
        <f t="shared" si="44"/>
        <v>#REF!</v>
      </c>
      <c r="N84" s="28" t="e">
        <f t="shared" si="44"/>
        <v>#REF!</v>
      </c>
      <c r="O84" s="28">
        <f t="shared" si="44"/>
        <v>0</v>
      </c>
      <c r="P84" s="28">
        <f t="shared" si="44"/>
        <v>0</v>
      </c>
      <c r="Q84" s="331"/>
      <c r="R84" s="331"/>
    </row>
    <row r="85" spans="1:50" ht="18.75" x14ac:dyDescent="0.25">
      <c r="A85" s="99" t="s">
        <v>43</v>
      </c>
      <c r="B85" s="22" t="s">
        <v>9</v>
      </c>
      <c r="C85" s="22" t="s">
        <v>12</v>
      </c>
      <c r="D85" s="22" t="s">
        <v>14</v>
      </c>
      <c r="E85" s="22" t="s">
        <v>55</v>
      </c>
      <c r="F85" s="22" t="s">
        <v>22</v>
      </c>
      <c r="G85" s="22" t="s">
        <v>44</v>
      </c>
      <c r="H85" s="22"/>
      <c r="I85" s="35">
        <v>530000</v>
      </c>
      <c r="J85" s="35">
        <v>0</v>
      </c>
      <c r="K85" s="35">
        <f>I85-J85</f>
        <v>530000</v>
      </c>
      <c r="L85" s="35" t="e">
        <f>L83+#REF!+#REF!</f>
        <v>#REF!</v>
      </c>
      <c r="M85" s="35" t="e">
        <f>M83+#REF!+#REF!</f>
        <v>#REF!</v>
      </c>
      <c r="N85" s="35" t="e">
        <f>N83+#REF!+#REF!</f>
        <v>#REF!</v>
      </c>
      <c r="O85" s="153">
        <f t="shared" si="39"/>
        <v>0</v>
      </c>
      <c r="P85" s="154">
        <f t="shared" si="38"/>
        <v>0</v>
      </c>
      <c r="Q85" s="331"/>
      <c r="R85" s="331"/>
    </row>
    <row r="86" spans="1:50" s="2" customFormat="1" ht="18.75" x14ac:dyDescent="0.25">
      <c r="A86" s="194" t="s">
        <v>45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46</v>
      </c>
      <c r="H86" s="27"/>
      <c r="I86" s="28">
        <f>I87+I88</f>
        <v>3223400</v>
      </c>
      <c r="J86" s="28">
        <f t="shared" ref="J86:N86" si="45">J87+J88</f>
        <v>0</v>
      </c>
      <c r="K86" s="28">
        <f t="shared" si="45"/>
        <v>3223400</v>
      </c>
      <c r="L86" s="28" t="e">
        <f t="shared" si="45"/>
        <v>#REF!</v>
      </c>
      <c r="M86" s="28">
        <f t="shared" si="45"/>
        <v>0</v>
      </c>
      <c r="N86" s="28">
        <f t="shared" si="45"/>
        <v>0</v>
      </c>
      <c r="O86" s="88">
        <f t="shared" si="39"/>
        <v>0</v>
      </c>
      <c r="P86" s="155">
        <f t="shared" si="38"/>
        <v>0</v>
      </c>
      <c r="Q86" s="341"/>
      <c r="R86" s="341"/>
      <c r="S86" s="15"/>
      <c r="T86" s="15"/>
      <c r="U86" s="15"/>
      <c r="V86" s="15"/>
      <c r="W86" s="15"/>
      <c r="X86" s="15"/>
      <c r="Y86" s="1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8.75" x14ac:dyDescent="0.25">
      <c r="A87" s="99" t="s">
        <v>47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48</v>
      </c>
      <c r="H87" s="22"/>
      <c r="I87" s="35">
        <v>2693400</v>
      </c>
      <c r="J87" s="35">
        <v>0</v>
      </c>
      <c r="K87" s="35">
        <f t="shared" ref="K87:K88" si="46">I87-J87</f>
        <v>2693400</v>
      </c>
      <c r="L87" s="50" t="e">
        <f>L88+#REF!+#REF!+#REF!+#REF!</f>
        <v>#REF!</v>
      </c>
      <c r="M87" s="176"/>
      <c r="N87" s="177"/>
      <c r="O87" s="153">
        <f t="shared" si="39"/>
        <v>0</v>
      </c>
      <c r="P87" s="154">
        <f t="shared" si="38"/>
        <v>0</v>
      </c>
      <c r="Q87" s="341"/>
      <c r="R87" s="341"/>
    </row>
    <row r="88" spans="1:50" ht="37.5" x14ac:dyDescent="0.25">
      <c r="A88" s="175" t="s">
        <v>109</v>
      </c>
      <c r="B88" s="22" t="s">
        <v>9</v>
      </c>
      <c r="C88" s="22" t="s">
        <v>12</v>
      </c>
      <c r="D88" s="22" t="s">
        <v>14</v>
      </c>
      <c r="E88" s="22" t="s">
        <v>55</v>
      </c>
      <c r="F88" s="22" t="s">
        <v>22</v>
      </c>
      <c r="G88" s="22" t="s">
        <v>104</v>
      </c>
      <c r="H88" s="22"/>
      <c r="I88" s="35">
        <v>530000</v>
      </c>
      <c r="J88" s="100">
        <v>0</v>
      </c>
      <c r="K88" s="35">
        <f t="shared" si="46"/>
        <v>530000</v>
      </c>
      <c r="L88" s="50" t="e">
        <f>#REF!</f>
        <v>#REF!</v>
      </c>
      <c r="M88" s="176"/>
      <c r="N88" s="177"/>
      <c r="O88" s="153">
        <f t="shared" si="39"/>
        <v>0</v>
      </c>
      <c r="P88" s="154">
        <f t="shared" si="38"/>
        <v>0</v>
      </c>
      <c r="Q88" s="342"/>
      <c r="R88" s="342"/>
    </row>
    <row r="89" spans="1:50" s="2" customFormat="1" ht="118.5" customHeight="1" x14ac:dyDescent="0.25">
      <c r="A89" s="86" t="s">
        <v>130</v>
      </c>
      <c r="B89" s="41" t="s">
        <v>9</v>
      </c>
      <c r="C89" s="41" t="s">
        <v>12</v>
      </c>
      <c r="D89" s="41" t="s">
        <v>14</v>
      </c>
      <c r="E89" s="41" t="s">
        <v>57</v>
      </c>
      <c r="F89" s="41" t="s">
        <v>22</v>
      </c>
      <c r="G89" s="16"/>
      <c r="H89" s="16"/>
      <c r="I89" s="17">
        <f>I90+I91</f>
        <v>254011.41</v>
      </c>
      <c r="J89" s="17">
        <f t="shared" ref="J89:K89" si="47">J90+J91</f>
        <v>3643</v>
      </c>
      <c r="K89" s="17">
        <f t="shared" si="47"/>
        <v>250368.41</v>
      </c>
      <c r="L89" s="42"/>
      <c r="M89" s="186"/>
      <c r="N89" s="187"/>
      <c r="O89" s="20">
        <f t="shared" si="39"/>
        <v>0</v>
      </c>
      <c r="P89" s="21">
        <f t="shared" si="38"/>
        <v>1.4341875429926554</v>
      </c>
      <c r="Q89" s="331"/>
      <c r="R89" s="33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2" customFormat="1" ht="18.75" x14ac:dyDescent="0.25">
      <c r="A90" s="175" t="s">
        <v>27</v>
      </c>
      <c r="B90" s="43" t="s">
        <v>9</v>
      </c>
      <c r="C90" s="43" t="s">
        <v>12</v>
      </c>
      <c r="D90" s="43" t="s">
        <v>14</v>
      </c>
      <c r="E90" s="43" t="s">
        <v>57</v>
      </c>
      <c r="F90" s="43" t="s">
        <v>22</v>
      </c>
      <c r="G90" s="43" t="s">
        <v>28</v>
      </c>
      <c r="H90" s="43"/>
      <c r="I90" s="35">
        <v>195093.25</v>
      </c>
      <c r="J90" s="100">
        <v>3643</v>
      </c>
      <c r="K90" s="35">
        <f t="shared" ref="K90:K91" si="48">I90-J90</f>
        <v>191450.25</v>
      </c>
      <c r="L90" s="93"/>
      <c r="M90" s="188"/>
      <c r="N90" s="189"/>
      <c r="O90" s="25">
        <f t="shared" si="39"/>
        <v>0</v>
      </c>
      <c r="P90" s="26">
        <f t="shared" si="38"/>
        <v>1.8673121699494983</v>
      </c>
      <c r="Q90" s="331"/>
      <c r="R90" s="33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15" customFormat="1" ht="18.75" x14ac:dyDescent="0.25">
      <c r="A91" s="99" t="s">
        <v>31</v>
      </c>
      <c r="B91" s="43" t="s">
        <v>9</v>
      </c>
      <c r="C91" s="43" t="s">
        <v>12</v>
      </c>
      <c r="D91" s="43" t="s">
        <v>14</v>
      </c>
      <c r="E91" s="43" t="s">
        <v>57</v>
      </c>
      <c r="F91" s="43" t="s">
        <v>22</v>
      </c>
      <c r="G91" s="103">
        <v>213</v>
      </c>
      <c r="H91" s="22"/>
      <c r="I91" s="35">
        <v>58918.16</v>
      </c>
      <c r="J91" s="100">
        <v>0</v>
      </c>
      <c r="K91" s="35">
        <f t="shared" si="48"/>
        <v>58918.16</v>
      </c>
      <c r="L91" s="93"/>
      <c r="M91" s="188"/>
      <c r="N91" s="189"/>
      <c r="O91" s="25">
        <f t="shared" si="39"/>
        <v>0</v>
      </c>
      <c r="P91" s="26">
        <f t="shared" si="38"/>
        <v>0</v>
      </c>
      <c r="Q91" s="331"/>
      <c r="R91" s="331"/>
    </row>
    <row r="92" spans="1:50" s="15" customFormat="1" ht="118.5" customHeight="1" x14ac:dyDescent="0.25">
      <c r="A92" s="86" t="s">
        <v>131</v>
      </c>
      <c r="B92" s="41" t="s">
        <v>9</v>
      </c>
      <c r="C92" s="41" t="s">
        <v>12</v>
      </c>
      <c r="D92" s="41" t="s">
        <v>14</v>
      </c>
      <c r="E92" s="41" t="s">
        <v>57</v>
      </c>
      <c r="F92" s="41" t="s">
        <v>22</v>
      </c>
      <c r="G92" s="16"/>
      <c r="H92" s="16"/>
      <c r="I92" s="17">
        <f>I93+I94</f>
        <v>1678661.9200000002</v>
      </c>
      <c r="J92" s="17">
        <f t="shared" ref="J92:K92" si="49">J93+J94</f>
        <v>0</v>
      </c>
      <c r="K92" s="17">
        <f t="shared" si="49"/>
        <v>1678661.9200000002</v>
      </c>
      <c r="L92" s="42"/>
      <c r="M92" s="186"/>
      <c r="N92" s="187"/>
      <c r="O92" s="20">
        <f t="shared" si="39"/>
        <v>0</v>
      </c>
      <c r="P92" s="21">
        <f t="shared" si="38"/>
        <v>0</v>
      </c>
      <c r="Q92" s="338"/>
      <c r="R92" s="339"/>
    </row>
    <row r="93" spans="1:50" s="15" customFormat="1" ht="18.75" x14ac:dyDescent="0.25">
      <c r="A93" s="175" t="s">
        <v>27</v>
      </c>
      <c r="B93" s="43" t="s">
        <v>9</v>
      </c>
      <c r="C93" s="43" t="s">
        <v>12</v>
      </c>
      <c r="D93" s="43" t="s">
        <v>14</v>
      </c>
      <c r="E93" s="43" t="s">
        <v>57</v>
      </c>
      <c r="F93" s="43" t="s">
        <v>22</v>
      </c>
      <c r="G93" s="43" t="s">
        <v>28</v>
      </c>
      <c r="H93" s="43"/>
      <c r="I93" s="35">
        <v>1289294.8700000001</v>
      </c>
      <c r="J93" s="100">
        <v>0</v>
      </c>
      <c r="K93" s="35">
        <f t="shared" ref="K93:K94" si="50">I93-J93</f>
        <v>1289294.8700000001</v>
      </c>
      <c r="L93" s="93"/>
      <c r="M93" s="188"/>
      <c r="N93" s="189"/>
      <c r="O93" s="25">
        <f t="shared" si="39"/>
        <v>0</v>
      </c>
      <c r="P93" s="26">
        <f t="shared" si="38"/>
        <v>0</v>
      </c>
      <c r="Q93" s="338"/>
      <c r="R93" s="339"/>
    </row>
    <row r="94" spans="1:50" s="15" customFormat="1" ht="18.75" x14ac:dyDescent="0.25">
      <c r="A94" s="99" t="s">
        <v>31</v>
      </c>
      <c r="B94" s="43" t="s">
        <v>9</v>
      </c>
      <c r="C94" s="43" t="s">
        <v>12</v>
      </c>
      <c r="D94" s="43" t="s">
        <v>14</v>
      </c>
      <c r="E94" s="43" t="s">
        <v>57</v>
      </c>
      <c r="F94" s="43" t="s">
        <v>22</v>
      </c>
      <c r="G94" s="103">
        <v>213</v>
      </c>
      <c r="H94" s="22"/>
      <c r="I94" s="35">
        <v>389367.05</v>
      </c>
      <c r="J94" s="100">
        <v>0</v>
      </c>
      <c r="K94" s="35">
        <f t="shared" si="50"/>
        <v>389367.05</v>
      </c>
      <c r="L94" s="93"/>
      <c r="M94" s="188"/>
      <c r="N94" s="189"/>
      <c r="O94" s="25">
        <f t="shared" si="39"/>
        <v>0</v>
      </c>
      <c r="P94" s="26">
        <f t="shared" si="38"/>
        <v>0</v>
      </c>
      <c r="Q94" s="338"/>
      <c r="R94" s="339"/>
    </row>
    <row r="95" spans="1:50" s="15" customFormat="1" ht="118.5" hidden="1" customHeight="1" x14ac:dyDescent="0.25">
      <c r="A95" s="86" t="s">
        <v>131</v>
      </c>
      <c r="B95" s="41" t="s">
        <v>9</v>
      </c>
      <c r="C95" s="41" t="s">
        <v>12</v>
      </c>
      <c r="D95" s="41" t="s">
        <v>14</v>
      </c>
      <c r="E95" s="41" t="s">
        <v>152</v>
      </c>
      <c r="F95" s="41" t="s">
        <v>22</v>
      </c>
      <c r="G95" s="16"/>
      <c r="H95" s="16"/>
      <c r="I95" s="17">
        <f>I96+I97</f>
        <v>0</v>
      </c>
      <c r="J95" s="17">
        <f t="shared" ref="J95:K95" si="51">J96+J97</f>
        <v>0</v>
      </c>
      <c r="K95" s="17">
        <f t="shared" si="51"/>
        <v>0</v>
      </c>
      <c r="L95" s="42"/>
      <c r="M95" s="186"/>
      <c r="N95" s="187"/>
      <c r="O95" s="20">
        <f t="shared" si="39"/>
        <v>0</v>
      </c>
      <c r="P95" s="21" t="e">
        <f t="shared" si="38"/>
        <v>#DIV/0!</v>
      </c>
      <c r="Q95" s="338"/>
      <c r="R95" s="339"/>
    </row>
    <row r="96" spans="1:50" s="15" customFormat="1" ht="18.75" hidden="1" x14ac:dyDescent="0.25">
      <c r="A96" s="175" t="s">
        <v>27</v>
      </c>
      <c r="B96" s="43" t="s">
        <v>9</v>
      </c>
      <c r="C96" s="43" t="s">
        <v>12</v>
      </c>
      <c r="D96" s="43" t="s">
        <v>14</v>
      </c>
      <c r="E96" s="43" t="s">
        <v>152</v>
      </c>
      <c r="F96" s="43" t="s">
        <v>22</v>
      </c>
      <c r="G96" s="43" t="s">
        <v>28</v>
      </c>
      <c r="H96" s="43"/>
      <c r="I96" s="121">
        <v>0</v>
      </c>
      <c r="J96" s="122">
        <v>0</v>
      </c>
      <c r="K96" s="35">
        <f>I96-J96</f>
        <v>0</v>
      </c>
      <c r="L96" s="93"/>
      <c r="M96" s="188"/>
      <c r="N96" s="189"/>
      <c r="O96" s="25">
        <f>I96-J96-K96</f>
        <v>0</v>
      </c>
      <c r="P96" s="26" t="e">
        <f t="shared" si="38"/>
        <v>#DIV/0!</v>
      </c>
      <c r="Q96" s="338"/>
      <c r="R96" s="339"/>
    </row>
    <row r="97" spans="1:50" s="15" customFormat="1" ht="18.75" hidden="1" x14ac:dyDescent="0.25">
      <c r="A97" s="99" t="s">
        <v>31</v>
      </c>
      <c r="B97" s="43" t="s">
        <v>9</v>
      </c>
      <c r="C97" s="43" t="s">
        <v>12</v>
      </c>
      <c r="D97" s="43" t="s">
        <v>14</v>
      </c>
      <c r="E97" s="43" t="s">
        <v>152</v>
      </c>
      <c r="F97" s="43" t="s">
        <v>22</v>
      </c>
      <c r="G97" s="103">
        <v>213</v>
      </c>
      <c r="H97" s="22"/>
      <c r="I97" s="121">
        <v>0</v>
      </c>
      <c r="J97" s="122">
        <v>0</v>
      </c>
      <c r="K97" s="35">
        <f t="shared" ref="K97" si="52">I97-J97</f>
        <v>0</v>
      </c>
      <c r="L97" s="93"/>
      <c r="M97" s="188"/>
      <c r="N97" s="189"/>
      <c r="O97" s="25">
        <f t="shared" si="39"/>
        <v>0</v>
      </c>
      <c r="P97" s="26" t="e">
        <f t="shared" si="38"/>
        <v>#DIV/0!</v>
      </c>
      <c r="Q97" s="338"/>
      <c r="R97" s="339"/>
    </row>
    <row r="98" spans="1:50" s="2" customFormat="1" ht="62.25" customHeight="1" x14ac:dyDescent="0.25">
      <c r="A98" s="190" t="s">
        <v>58</v>
      </c>
      <c r="B98" s="41" t="s">
        <v>9</v>
      </c>
      <c r="C98" s="41" t="s">
        <v>12</v>
      </c>
      <c r="D98" s="41" t="s">
        <v>14</v>
      </c>
      <c r="E98" s="41" t="s">
        <v>59</v>
      </c>
      <c r="F98" s="41" t="s">
        <v>22</v>
      </c>
      <c r="G98" s="41"/>
      <c r="H98" s="41"/>
      <c r="I98" s="17">
        <f>I100+I99</f>
        <v>1578435.78</v>
      </c>
      <c r="J98" s="17">
        <f>J100+J99</f>
        <v>3660</v>
      </c>
      <c r="K98" s="17">
        <f>K100+K99</f>
        <v>1574775.78</v>
      </c>
      <c r="L98" s="18"/>
      <c r="M98" s="195"/>
      <c r="N98" s="196"/>
      <c r="O98" s="20">
        <f t="shared" si="39"/>
        <v>0</v>
      </c>
      <c r="P98" s="21">
        <f t="shared" si="38"/>
        <v>0.23187512893302506</v>
      </c>
      <c r="Q98" s="331"/>
      <c r="R98" s="33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28.5" customHeight="1" x14ac:dyDescent="0.25">
      <c r="A99" s="175" t="s">
        <v>167</v>
      </c>
      <c r="B99" s="22" t="s">
        <v>9</v>
      </c>
      <c r="C99" s="22" t="s">
        <v>12</v>
      </c>
      <c r="D99" s="22" t="s">
        <v>14</v>
      </c>
      <c r="E99" s="22" t="s">
        <v>59</v>
      </c>
      <c r="F99" s="22" t="s">
        <v>22</v>
      </c>
      <c r="G99" s="22" t="s">
        <v>146</v>
      </c>
      <c r="H99" s="22"/>
      <c r="I99" s="23">
        <v>249335.78</v>
      </c>
      <c r="J99" s="34">
        <v>3660</v>
      </c>
      <c r="K99" s="34">
        <f>I99-J99</f>
        <v>245675.78</v>
      </c>
      <c r="L99" s="24"/>
      <c r="M99" s="182"/>
      <c r="N99" s="183"/>
      <c r="O99" s="25"/>
      <c r="P99" s="26"/>
      <c r="Q99" s="331"/>
      <c r="R99" s="331"/>
    </row>
    <row r="100" spans="1:50" ht="18.75" x14ac:dyDescent="0.25">
      <c r="A100" s="99" t="s">
        <v>113</v>
      </c>
      <c r="B100" s="22" t="s">
        <v>9</v>
      </c>
      <c r="C100" s="22" t="s">
        <v>12</v>
      </c>
      <c r="D100" s="22" t="s">
        <v>14</v>
      </c>
      <c r="E100" s="22" t="s">
        <v>59</v>
      </c>
      <c r="F100" s="22" t="s">
        <v>22</v>
      </c>
      <c r="G100" s="22" t="s">
        <v>114</v>
      </c>
      <c r="H100" s="22"/>
      <c r="I100" s="35">
        <v>1329100</v>
      </c>
      <c r="J100" s="100">
        <v>0</v>
      </c>
      <c r="K100" s="34">
        <f>I100-J100</f>
        <v>1329100</v>
      </c>
      <c r="L100" s="93" t="e">
        <f>#REF!</f>
        <v>#REF!</v>
      </c>
      <c r="M100" s="188"/>
      <c r="N100" s="189"/>
      <c r="O100" s="25">
        <f t="shared" si="39"/>
        <v>0</v>
      </c>
      <c r="P100" s="26">
        <f t="shared" si="38"/>
        <v>0</v>
      </c>
      <c r="Q100" s="331"/>
      <c r="R100" s="331"/>
    </row>
    <row r="101" spans="1:50" s="15" customFormat="1" ht="117.75" customHeight="1" x14ac:dyDescent="0.25">
      <c r="A101" s="190" t="s">
        <v>73</v>
      </c>
      <c r="B101" s="41" t="s">
        <v>9</v>
      </c>
      <c r="C101" s="41" t="s">
        <v>12</v>
      </c>
      <c r="D101" s="41" t="s">
        <v>12</v>
      </c>
      <c r="E101" s="41" t="s">
        <v>74</v>
      </c>
      <c r="F101" s="41"/>
      <c r="G101" s="41"/>
      <c r="H101" s="41"/>
      <c r="I101" s="17">
        <f>I103+I102</f>
        <v>383076</v>
      </c>
      <c r="J101" s="17">
        <f t="shared" ref="J101:K101" si="53">J103+J102</f>
        <v>0</v>
      </c>
      <c r="K101" s="17">
        <f t="shared" si="53"/>
        <v>383076</v>
      </c>
      <c r="L101" s="18" t="e">
        <f>L103</f>
        <v>#REF!</v>
      </c>
      <c r="M101" s="186"/>
      <c r="N101" s="187"/>
      <c r="O101" s="20">
        <f>I101-J101-K101</f>
        <v>0</v>
      </c>
      <c r="P101" s="21">
        <f>J101/I101*100</f>
        <v>0</v>
      </c>
      <c r="Q101" s="331"/>
      <c r="R101" s="331"/>
      <c r="Z101" s="1"/>
      <c r="AA101" s="1"/>
      <c r="AB101" s="1"/>
      <c r="AC101" s="1"/>
      <c r="AD101" s="1"/>
    </row>
    <row r="102" spans="1:50" s="15" customFormat="1" ht="18.75" x14ac:dyDescent="0.25">
      <c r="A102" s="99" t="s">
        <v>43</v>
      </c>
      <c r="B102" s="22" t="s">
        <v>9</v>
      </c>
      <c r="C102" s="22" t="s">
        <v>12</v>
      </c>
      <c r="D102" s="22" t="s">
        <v>12</v>
      </c>
      <c r="E102" s="22" t="s">
        <v>74</v>
      </c>
      <c r="F102" s="22" t="s">
        <v>22</v>
      </c>
      <c r="G102" s="22" t="s">
        <v>44</v>
      </c>
      <c r="H102" s="27"/>
      <c r="I102" s="35">
        <v>216000</v>
      </c>
      <c r="J102" s="100">
        <v>0</v>
      </c>
      <c r="K102" s="34">
        <f>I102-J102</f>
        <v>216000</v>
      </c>
      <c r="L102" s="24"/>
      <c r="M102" s="182"/>
      <c r="N102" s="183"/>
      <c r="O102" s="30">
        <f t="shared" si="39"/>
        <v>0</v>
      </c>
      <c r="P102" s="31">
        <f>J102/I102*100</f>
        <v>0</v>
      </c>
      <c r="Q102" s="338"/>
      <c r="R102" s="339"/>
      <c r="Z102" s="1"/>
      <c r="AA102" s="1"/>
      <c r="AB102" s="1"/>
      <c r="AC102" s="1"/>
      <c r="AD102" s="1"/>
    </row>
    <row r="103" spans="1:50" ht="18.75" x14ac:dyDescent="0.25">
      <c r="A103" s="99" t="s">
        <v>113</v>
      </c>
      <c r="B103" s="22" t="s">
        <v>9</v>
      </c>
      <c r="C103" s="22" t="s">
        <v>12</v>
      </c>
      <c r="D103" s="22" t="s">
        <v>12</v>
      </c>
      <c r="E103" s="22" t="s">
        <v>74</v>
      </c>
      <c r="F103" s="22" t="s">
        <v>22</v>
      </c>
      <c r="G103" s="22" t="s">
        <v>114</v>
      </c>
      <c r="H103" s="22"/>
      <c r="I103" s="35">
        <v>167076</v>
      </c>
      <c r="J103" s="100">
        <v>0</v>
      </c>
      <c r="K103" s="34">
        <f>I103-J103</f>
        <v>167076</v>
      </c>
      <c r="L103" s="24" t="e">
        <f>#REF!</f>
        <v>#REF!</v>
      </c>
      <c r="M103" s="182"/>
      <c r="N103" s="183"/>
      <c r="O103" s="25">
        <f t="shared" si="39"/>
        <v>0</v>
      </c>
      <c r="P103" s="26">
        <f>J103/I103*100</f>
        <v>0</v>
      </c>
      <c r="Q103" s="331"/>
      <c r="R103" s="331"/>
    </row>
    <row r="104" spans="1:50" s="2" customFormat="1" ht="19.5" customHeight="1" x14ac:dyDescent="0.3">
      <c r="A104" s="333" t="s">
        <v>60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5"/>
      <c r="Q104" s="340"/>
      <c r="R104" s="340"/>
    </row>
    <row r="105" spans="1:50" ht="78" x14ac:dyDescent="0.25">
      <c r="A105" s="51" t="s">
        <v>8</v>
      </c>
      <c r="B105" s="52" t="s">
        <v>9</v>
      </c>
      <c r="C105" s="52"/>
      <c r="D105" s="52"/>
      <c r="E105" s="52"/>
      <c r="F105" s="52"/>
      <c r="G105" s="52"/>
      <c r="H105" s="52"/>
      <c r="I105" s="53">
        <f>I106+I120+I127+I132+I130+I137+I141+I144+I139</f>
        <v>783637.53</v>
      </c>
      <c r="J105" s="53">
        <f>J106+J120+J127+J132+J130+J144+J137+J141+J139</f>
        <v>0</v>
      </c>
      <c r="K105" s="53">
        <f>K106+K120+K127+K132+K130+K137+K141+K144+K139</f>
        <v>783637.53</v>
      </c>
      <c r="L105" s="53" t="e">
        <f t="shared" ref="L105:N105" si="54">L106+L120</f>
        <v>#REF!</v>
      </c>
      <c r="M105" s="53" t="e">
        <f t="shared" si="54"/>
        <v>#REF!</v>
      </c>
      <c r="N105" s="53" t="e">
        <f t="shared" si="54"/>
        <v>#REF!</v>
      </c>
      <c r="O105" s="53">
        <f>I105-J105-K105</f>
        <v>0</v>
      </c>
      <c r="P105" s="54">
        <f t="shared" ref="P105:P120" si="55">J105/I105*100</f>
        <v>0</v>
      </c>
      <c r="Q105" s="331"/>
      <c r="R105" s="331"/>
    </row>
    <row r="106" spans="1:50" ht="19.5" x14ac:dyDescent="0.25">
      <c r="A106" s="173" t="s">
        <v>11</v>
      </c>
      <c r="B106" s="8" t="s">
        <v>9</v>
      </c>
      <c r="C106" s="8" t="s">
        <v>12</v>
      </c>
      <c r="D106" s="8"/>
      <c r="E106" s="8"/>
      <c r="F106" s="8"/>
      <c r="G106" s="8"/>
      <c r="H106" s="8"/>
      <c r="I106" s="9">
        <f>I107+I111+I114+I117+I109+I146</f>
        <v>542217.12</v>
      </c>
      <c r="J106" s="9">
        <f>J107+J111+J114+J117+J109+J146</f>
        <v>0</v>
      </c>
      <c r="K106" s="9">
        <f>K107+K111+K114+K117+K109+K146</f>
        <v>542217.12</v>
      </c>
      <c r="L106" s="10" t="e">
        <f>L107+#REF!</f>
        <v>#REF!</v>
      </c>
      <c r="M106" s="197"/>
      <c r="N106" s="198"/>
      <c r="O106" s="11">
        <f>I106-J106-K106</f>
        <v>0</v>
      </c>
      <c r="P106" s="12">
        <f t="shared" si="55"/>
        <v>0</v>
      </c>
      <c r="Q106" s="331"/>
      <c r="R106" s="331"/>
    </row>
    <row r="107" spans="1:50" ht="120.75" customHeight="1" x14ac:dyDescent="0.25">
      <c r="A107" s="190" t="s">
        <v>61</v>
      </c>
      <c r="B107" s="41" t="s">
        <v>9</v>
      </c>
      <c r="C107" s="41" t="s">
        <v>12</v>
      </c>
      <c r="D107" s="41" t="s">
        <v>14</v>
      </c>
      <c r="E107" s="41" t="s">
        <v>62</v>
      </c>
      <c r="F107" s="41"/>
      <c r="G107" s="41"/>
      <c r="H107" s="41"/>
      <c r="I107" s="17">
        <f>I108</f>
        <v>13261.15</v>
      </c>
      <c r="J107" s="17">
        <f t="shared" ref="J107:L109" si="56">J108</f>
        <v>0</v>
      </c>
      <c r="K107" s="17">
        <f t="shared" si="56"/>
        <v>13261.15</v>
      </c>
      <c r="L107" s="18" t="e">
        <f t="shared" si="56"/>
        <v>#REF!</v>
      </c>
      <c r="M107" s="186"/>
      <c r="N107" s="187"/>
      <c r="O107" s="20">
        <f>I107-J107-K107</f>
        <v>0</v>
      </c>
      <c r="P107" s="21">
        <f t="shared" si="55"/>
        <v>0</v>
      </c>
      <c r="Q107" s="331"/>
      <c r="R107" s="331"/>
      <c r="S107" s="15"/>
    </row>
    <row r="108" spans="1:50" ht="23.25" customHeight="1" x14ac:dyDescent="0.25">
      <c r="A108" s="99" t="s">
        <v>113</v>
      </c>
      <c r="B108" s="22" t="s">
        <v>9</v>
      </c>
      <c r="C108" s="22" t="s">
        <v>12</v>
      </c>
      <c r="D108" s="22" t="s">
        <v>14</v>
      </c>
      <c r="E108" s="43" t="s">
        <v>62</v>
      </c>
      <c r="F108" s="22" t="s">
        <v>63</v>
      </c>
      <c r="G108" s="22" t="s">
        <v>114</v>
      </c>
      <c r="H108" s="22"/>
      <c r="I108" s="35">
        <v>13261.15</v>
      </c>
      <c r="J108" s="100">
        <v>0</v>
      </c>
      <c r="K108" s="34">
        <f>I108-J108</f>
        <v>13261.15</v>
      </c>
      <c r="L108" s="24" t="e">
        <f>#REF!</f>
        <v>#REF!</v>
      </c>
      <c r="M108" s="184"/>
      <c r="N108" s="185"/>
      <c r="O108" s="25">
        <f>I108-K108-J108</f>
        <v>0</v>
      </c>
      <c r="P108" s="26">
        <f t="shared" si="55"/>
        <v>0</v>
      </c>
      <c r="Q108" s="331"/>
      <c r="R108" s="331"/>
      <c r="Z108" s="15"/>
      <c r="AA108" s="15"/>
      <c r="AB108" s="15"/>
      <c r="AC108" s="15"/>
      <c r="AD108" s="15"/>
    </row>
    <row r="109" spans="1:50" ht="106.5" customHeight="1" x14ac:dyDescent="0.25">
      <c r="A109" s="190" t="s">
        <v>141</v>
      </c>
      <c r="B109" s="41" t="s">
        <v>9</v>
      </c>
      <c r="C109" s="41" t="s">
        <v>12</v>
      </c>
      <c r="D109" s="41" t="s">
        <v>14</v>
      </c>
      <c r="E109" s="41" t="s">
        <v>136</v>
      </c>
      <c r="F109" s="41"/>
      <c r="G109" s="41"/>
      <c r="H109" s="41"/>
      <c r="I109" s="17">
        <f>I110</f>
        <v>355955.97</v>
      </c>
      <c r="J109" s="17">
        <f t="shared" si="56"/>
        <v>0</v>
      </c>
      <c r="K109" s="17">
        <f t="shared" si="56"/>
        <v>355955.97</v>
      </c>
      <c r="L109" s="18" t="e">
        <f t="shared" si="56"/>
        <v>#REF!</v>
      </c>
      <c r="M109" s="186"/>
      <c r="N109" s="187"/>
      <c r="O109" s="20">
        <f>I109-J109-K109</f>
        <v>0</v>
      </c>
      <c r="P109" s="21">
        <f t="shared" si="55"/>
        <v>0</v>
      </c>
      <c r="Q109" s="331"/>
      <c r="R109" s="331"/>
      <c r="Z109" s="15"/>
      <c r="AA109" s="15"/>
      <c r="AB109" s="15"/>
      <c r="AC109" s="15"/>
      <c r="AD109" s="15"/>
    </row>
    <row r="110" spans="1:50" ht="23.25" customHeight="1" x14ac:dyDescent="0.25">
      <c r="A110" s="99" t="s">
        <v>113</v>
      </c>
      <c r="B110" s="22" t="s">
        <v>9</v>
      </c>
      <c r="C110" s="22" t="s">
        <v>12</v>
      </c>
      <c r="D110" s="22" t="s">
        <v>14</v>
      </c>
      <c r="E110" s="43" t="s">
        <v>136</v>
      </c>
      <c r="F110" s="22" t="s">
        <v>63</v>
      </c>
      <c r="G110" s="22" t="s">
        <v>114</v>
      </c>
      <c r="H110" s="22"/>
      <c r="I110" s="35">
        <v>355955.97</v>
      </c>
      <c r="J110" s="100">
        <v>0</v>
      </c>
      <c r="K110" s="34">
        <f>I110-J110</f>
        <v>355955.97</v>
      </c>
      <c r="L110" s="24" t="e">
        <f>#REF!</f>
        <v>#REF!</v>
      </c>
      <c r="M110" s="184"/>
      <c r="N110" s="185"/>
      <c r="O110" s="25">
        <f>I110-K110-J110</f>
        <v>0</v>
      </c>
      <c r="P110" s="26">
        <f t="shared" si="55"/>
        <v>0</v>
      </c>
      <c r="Q110" s="331"/>
      <c r="R110" s="331"/>
      <c r="Z110" s="15"/>
      <c r="AA110" s="15"/>
      <c r="AB110" s="15"/>
      <c r="AC110" s="15"/>
      <c r="AD110" s="15"/>
    </row>
    <row r="111" spans="1:50" s="2" customFormat="1" ht="80.25" customHeight="1" x14ac:dyDescent="0.25">
      <c r="A111" s="190" t="s">
        <v>117</v>
      </c>
      <c r="B111" s="41" t="s">
        <v>9</v>
      </c>
      <c r="C111" s="41" t="s">
        <v>12</v>
      </c>
      <c r="D111" s="41" t="s">
        <v>12</v>
      </c>
      <c r="E111" s="41" t="s">
        <v>90</v>
      </c>
      <c r="F111" s="41"/>
      <c r="G111" s="16"/>
      <c r="H111" s="16"/>
      <c r="I111" s="17">
        <f>I112+I113</f>
        <v>70000</v>
      </c>
      <c r="J111" s="17">
        <f t="shared" ref="J111:K111" si="57">J112+J113</f>
        <v>0</v>
      </c>
      <c r="K111" s="17">
        <f t="shared" si="57"/>
        <v>70000</v>
      </c>
      <c r="L111" s="69"/>
      <c r="M111" s="186"/>
      <c r="N111" s="187"/>
      <c r="O111" s="20">
        <v>0</v>
      </c>
      <c r="P111" s="21">
        <f t="shared" si="55"/>
        <v>0</v>
      </c>
      <c r="Q111" s="331"/>
      <c r="R111" s="331"/>
      <c r="S111" s="1"/>
      <c r="T111" s="15"/>
      <c r="U111" s="15"/>
      <c r="V111" s="15"/>
      <c r="W111" s="15"/>
      <c r="X111" s="15"/>
      <c r="Y111" s="1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s="2" customFormat="1" ht="39.75" customHeight="1" x14ac:dyDescent="0.25">
      <c r="A112" s="175" t="s">
        <v>109</v>
      </c>
      <c r="B112" s="22" t="s">
        <v>9</v>
      </c>
      <c r="C112" s="22" t="s">
        <v>12</v>
      </c>
      <c r="D112" s="22" t="s">
        <v>12</v>
      </c>
      <c r="E112" s="43" t="s">
        <v>90</v>
      </c>
      <c r="F112" s="22" t="s">
        <v>63</v>
      </c>
      <c r="G112" s="22" t="s">
        <v>104</v>
      </c>
      <c r="H112" s="22"/>
      <c r="I112" s="35">
        <v>27000</v>
      </c>
      <c r="J112" s="100">
        <v>0</v>
      </c>
      <c r="K112" s="35">
        <f>I112-J112</f>
        <v>27000</v>
      </c>
      <c r="L112" s="57"/>
      <c r="M112" s="188"/>
      <c r="N112" s="189"/>
      <c r="O112" s="25">
        <f>O113</f>
        <v>0</v>
      </c>
      <c r="P112" s="26">
        <f t="shared" si="55"/>
        <v>0</v>
      </c>
      <c r="Q112" s="331"/>
      <c r="R112" s="331"/>
      <c r="S112" s="1"/>
      <c r="T112" s="15"/>
      <c r="U112" s="15"/>
      <c r="V112" s="15"/>
      <c r="W112" s="15"/>
      <c r="X112" s="15"/>
      <c r="Y112" s="1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s="2" customFormat="1" ht="40.5" customHeight="1" x14ac:dyDescent="0.25">
      <c r="A113" s="175" t="s">
        <v>110</v>
      </c>
      <c r="B113" s="22" t="s">
        <v>9</v>
      </c>
      <c r="C113" s="22" t="s">
        <v>12</v>
      </c>
      <c r="D113" s="22" t="s">
        <v>12</v>
      </c>
      <c r="E113" s="43" t="s">
        <v>90</v>
      </c>
      <c r="F113" s="22" t="s">
        <v>63</v>
      </c>
      <c r="G113" s="22" t="s">
        <v>105</v>
      </c>
      <c r="H113" s="22"/>
      <c r="I113" s="35">
        <v>43000</v>
      </c>
      <c r="J113" s="100">
        <v>0</v>
      </c>
      <c r="K113" s="35">
        <f>I113-J113</f>
        <v>43000</v>
      </c>
      <c r="L113" s="49"/>
      <c r="M113" s="188"/>
      <c r="N113" s="189"/>
      <c r="O113" s="25">
        <f>I113-J113-K113</f>
        <v>0</v>
      </c>
      <c r="P113" s="26">
        <f t="shared" si="55"/>
        <v>0</v>
      </c>
      <c r="Q113" s="331"/>
      <c r="R113" s="331"/>
      <c r="S113" s="1"/>
      <c r="T113" s="15"/>
      <c r="U113" s="15"/>
      <c r="V113" s="15"/>
      <c r="W113" s="15"/>
      <c r="X113" s="15"/>
      <c r="Y113" s="1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" customFormat="1" ht="91.5" customHeight="1" x14ac:dyDescent="0.25">
      <c r="A114" s="190" t="s">
        <v>118</v>
      </c>
      <c r="B114" s="41" t="s">
        <v>9</v>
      </c>
      <c r="C114" s="41" t="s">
        <v>12</v>
      </c>
      <c r="D114" s="41" t="s">
        <v>12</v>
      </c>
      <c r="E114" s="16" t="s">
        <v>115</v>
      </c>
      <c r="F114" s="41"/>
      <c r="G114" s="16"/>
      <c r="H114" s="16"/>
      <c r="I114" s="17">
        <f>I115+I116</f>
        <v>13000</v>
      </c>
      <c r="J114" s="17">
        <f t="shared" ref="J114:K114" si="58">J115+J116</f>
        <v>0</v>
      </c>
      <c r="K114" s="17">
        <f t="shared" si="58"/>
        <v>13000</v>
      </c>
      <c r="L114" s="69"/>
      <c r="M114" s="186"/>
      <c r="N114" s="187"/>
      <c r="O114" s="20">
        <v>0</v>
      </c>
      <c r="P114" s="21">
        <f t="shared" si="55"/>
        <v>0</v>
      </c>
      <c r="Q114" s="331"/>
      <c r="R114" s="331"/>
      <c r="S114" s="1"/>
      <c r="T114" s="15"/>
      <c r="U114" s="15"/>
      <c r="V114" s="15"/>
      <c r="W114" s="15"/>
      <c r="X114" s="15"/>
      <c r="Y114" s="1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" customFormat="1" ht="39.75" customHeight="1" x14ac:dyDescent="0.25">
      <c r="A115" s="175" t="s">
        <v>109</v>
      </c>
      <c r="B115" s="22" t="s">
        <v>9</v>
      </c>
      <c r="C115" s="22" t="s">
        <v>12</v>
      </c>
      <c r="D115" s="22" t="s">
        <v>12</v>
      </c>
      <c r="E115" s="43" t="s">
        <v>115</v>
      </c>
      <c r="F115" s="22" t="s">
        <v>63</v>
      </c>
      <c r="G115" s="22" t="s">
        <v>104</v>
      </c>
      <c r="H115" s="22"/>
      <c r="I115" s="35">
        <v>11000</v>
      </c>
      <c r="J115" s="100">
        <v>0</v>
      </c>
      <c r="K115" s="35">
        <f>I115-J115</f>
        <v>11000</v>
      </c>
      <c r="L115" s="57"/>
      <c r="M115" s="188"/>
      <c r="N115" s="189"/>
      <c r="O115" s="25">
        <f>O116</f>
        <v>0</v>
      </c>
      <c r="P115" s="26">
        <f t="shared" si="55"/>
        <v>0</v>
      </c>
      <c r="Q115" s="331"/>
      <c r="R115" s="331"/>
      <c r="S115" s="1"/>
      <c r="T115" s="15"/>
      <c r="U115" s="15"/>
      <c r="V115" s="15"/>
      <c r="W115" s="15"/>
      <c r="X115" s="15"/>
      <c r="Y115" s="1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" customFormat="1" ht="40.5" customHeight="1" x14ac:dyDescent="0.25">
      <c r="A116" s="175" t="s">
        <v>110</v>
      </c>
      <c r="B116" s="22" t="s">
        <v>9</v>
      </c>
      <c r="C116" s="22" t="s">
        <v>12</v>
      </c>
      <c r="D116" s="22" t="s">
        <v>12</v>
      </c>
      <c r="E116" s="43" t="s">
        <v>115</v>
      </c>
      <c r="F116" s="22" t="s">
        <v>63</v>
      </c>
      <c r="G116" s="22" t="s">
        <v>105</v>
      </c>
      <c r="H116" s="22"/>
      <c r="I116" s="35">
        <v>2000</v>
      </c>
      <c r="J116" s="100">
        <v>0</v>
      </c>
      <c r="K116" s="35">
        <f>I116-J116</f>
        <v>2000</v>
      </c>
      <c r="L116" s="49"/>
      <c r="M116" s="188"/>
      <c r="N116" s="189"/>
      <c r="O116" s="25">
        <f>I116-J116-K116</f>
        <v>0</v>
      </c>
      <c r="P116" s="26">
        <f t="shared" si="55"/>
        <v>0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88.5" customHeight="1" x14ac:dyDescent="0.25">
      <c r="A117" s="190" t="s">
        <v>119</v>
      </c>
      <c r="B117" s="41" t="s">
        <v>9</v>
      </c>
      <c r="C117" s="41" t="s">
        <v>12</v>
      </c>
      <c r="D117" s="41" t="s">
        <v>85</v>
      </c>
      <c r="E117" s="16" t="s">
        <v>116</v>
      </c>
      <c r="F117" s="41"/>
      <c r="G117" s="16"/>
      <c r="H117" s="16"/>
      <c r="I117" s="17">
        <f>I118+I119</f>
        <v>27000</v>
      </c>
      <c r="J117" s="17">
        <f t="shared" ref="J117:K117" si="59">J118+J119</f>
        <v>0</v>
      </c>
      <c r="K117" s="17">
        <f t="shared" si="59"/>
        <v>27000</v>
      </c>
      <c r="L117" s="69"/>
      <c r="M117" s="186"/>
      <c r="N117" s="187"/>
      <c r="O117" s="20">
        <v>0</v>
      </c>
      <c r="P117" s="21">
        <f t="shared" si="55"/>
        <v>0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39.75" customHeight="1" x14ac:dyDescent="0.25">
      <c r="A118" s="175" t="s">
        <v>109</v>
      </c>
      <c r="B118" s="22" t="s">
        <v>9</v>
      </c>
      <c r="C118" s="22" t="s">
        <v>12</v>
      </c>
      <c r="D118" s="22" t="s">
        <v>85</v>
      </c>
      <c r="E118" s="43" t="s">
        <v>116</v>
      </c>
      <c r="F118" s="22" t="s">
        <v>63</v>
      </c>
      <c r="G118" s="22" t="s">
        <v>104</v>
      </c>
      <c r="H118" s="22"/>
      <c r="I118" s="35">
        <v>7000</v>
      </c>
      <c r="J118" s="100">
        <v>0</v>
      </c>
      <c r="K118" s="35">
        <f>I118-J118</f>
        <v>7000</v>
      </c>
      <c r="L118" s="57"/>
      <c r="M118" s="188"/>
      <c r="N118" s="189"/>
      <c r="O118" s="25">
        <f>O119</f>
        <v>0</v>
      </c>
      <c r="P118" s="26">
        <f t="shared" si="55"/>
        <v>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75" t="s">
        <v>110</v>
      </c>
      <c r="B119" s="22" t="s">
        <v>9</v>
      </c>
      <c r="C119" s="22" t="s">
        <v>12</v>
      </c>
      <c r="D119" s="22" t="s">
        <v>85</v>
      </c>
      <c r="E119" s="43" t="s">
        <v>116</v>
      </c>
      <c r="F119" s="22" t="s">
        <v>63</v>
      </c>
      <c r="G119" s="22" t="s">
        <v>105</v>
      </c>
      <c r="H119" s="22"/>
      <c r="I119" s="35">
        <v>20000</v>
      </c>
      <c r="J119" s="100">
        <v>0</v>
      </c>
      <c r="K119" s="35">
        <f>I119-J119</f>
        <v>20000</v>
      </c>
      <c r="L119" s="49"/>
      <c r="M119" s="188"/>
      <c r="N119" s="189"/>
      <c r="O119" s="25">
        <f>I119-J119-K119</f>
        <v>0</v>
      </c>
      <c r="P119" s="26">
        <f t="shared" si="55"/>
        <v>0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59.25" customHeight="1" x14ac:dyDescent="0.25">
      <c r="A120" s="86" t="s">
        <v>67</v>
      </c>
      <c r="B120" s="41" t="s">
        <v>9</v>
      </c>
      <c r="C120" s="41" t="s">
        <v>68</v>
      </c>
      <c r="D120" s="41" t="s">
        <v>69</v>
      </c>
      <c r="E120" s="41" t="s">
        <v>70</v>
      </c>
      <c r="F120" s="41"/>
      <c r="G120" s="41"/>
      <c r="H120" s="41"/>
      <c r="I120" s="17">
        <f>I121+I123+I125+I126+I122+I124</f>
        <v>65000</v>
      </c>
      <c r="J120" s="17">
        <f>J121+J123+J125+J126+J122+J124</f>
        <v>0</v>
      </c>
      <c r="K120" s="17">
        <f>K121+K123+K125+K126+K122+K124</f>
        <v>65000</v>
      </c>
      <c r="L120" s="17" t="e">
        <f>L121+#REF!+#REF!</f>
        <v>#REF!</v>
      </c>
      <c r="M120" s="17" t="e">
        <f>M121+#REF!+#REF!</f>
        <v>#REF!</v>
      </c>
      <c r="N120" s="17" t="e">
        <f>N121+#REF!+#REF!</f>
        <v>#REF!</v>
      </c>
      <c r="O120" s="89">
        <f>I120-J120-K120</f>
        <v>0</v>
      </c>
      <c r="P120" s="21">
        <f t="shared" si="55"/>
        <v>0</v>
      </c>
      <c r="Q120" s="331"/>
      <c r="R120" s="33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18.75" x14ac:dyDescent="0.25">
      <c r="A121" s="175" t="s">
        <v>43</v>
      </c>
      <c r="B121" s="22" t="s">
        <v>9</v>
      </c>
      <c r="C121" s="22" t="s">
        <v>68</v>
      </c>
      <c r="D121" s="22" t="s">
        <v>69</v>
      </c>
      <c r="E121" s="22" t="s">
        <v>70</v>
      </c>
      <c r="F121" s="22" t="s">
        <v>63</v>
      </c>
      <c r="G121" s="22" t="s">
        <v>44</v>
      </c>
      <c r="H121" s="22"/>
      <c r="I121" s="35">
        <v>5000</v>
      </c>
      <c r="J121" s="35">
        <v>0</v>
      </c>
      <c r="K121" s="23">
        <f>I121-J121</f>
        <v>5000</v>
      </c>
      <c r="L121" s="93"/>
      <c r="M121" s="188"/>
      <c r="N121" s="189"/>
      <c r="O121" s="25">
        <f>I121-J121-K121</f>
        <v>0</v>
      </c>
      <c r="P121" s="26">
        <f>J121/I121*100</f>
        <v>0</v>
      </c>
      <c r="Q121" s="331"/>
      <c r="R121" s="331"/>
      <c r="S121" s="15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18.75" x14ac:dyDescent="0.25">
      <c r="A122" s="175" t="s">
        <v>123</v>
      </c>
      <c r="B122" s="22" t="s">
        <v>9</v>
      </c>
      <c r="C122" s="22" t="s">
        <v>68</v>
      </c>
      <c r="D122" s="22" t="s">
        <v>69</v>
      </c>
      <c r="E122" s="22" t="s">
        <v>70</v>
      </c>
      <c r="F122" s="22" t="s">
        <v>63</v>
      </c>
      <c r="G122" s="22" t="s">
        <v>124</v>
      </c>
      <c r="H122" s="22"/>
      <c r="I122" s="35">
        <v>7500</v>
      </c>
      <c r="J122" s="100">
        <v>0</v>
      </c>
      <c r="K122" s="23">
        <f t="shared" ref="K122:K126" si="60">I122-J122</f>
        <v>7500</v>
      </c>
      <c r="L122" s="93"/>
      <c r="M122" s="188"/>
      <c r="N122" s="189"/>
      <c r="O122" s="25">
        <f t="shared" ref="O122:O134" si="61">I122-J122-K122</f>
        <v>0</v>
      </c>
      <c r="P122" s="26">
        <f>J122/I122*100</f>
        <v>0</v>
      </c>
      <c r="Q122" s="338"/>
      <c r="R122" s="339"/>
      <c r="S122" s="15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7.5" x14ac:dyDescent="0.25">
      <c r="A123" s="175" t="s">
        <v>106</v>
      </c>
      <c r="B123" s="22" t="s">
        <v>9</v>
      </c>
      <c r="C123" s="22" t="s">
        <v>68</v>
      </c>
      <c r="D123" s="22" t="s">
        <v>69</v>
      </c>
      <c r="E123" s="22" t="s">
        <v>70</v>
      </c>
      <c r="F123" s="22" t="s">
        <v>63</v>
      </c>
      <c r="G123" s="22" t="s">
        <v>101</v>
      </c>
      <c r="H123" s="22"/>
      <c r="I123" s="35">
        <v>2500</v>
      </c>
      <c r="J123" s="100">
        <v>0</v>
      </c>
      <c r="K123" s="23">
        <f t="shared" si="60"/>
        <v>2500</v>
      </c>
      <c r="L123" s="93"/>
      <c r="M123" s="188"/>
      <c r="N123" s="189"/>
      <c r="O123" s="25">
        <f t="shared" si="61"/>
        <v>0</v>
      </c>
      <c r="P123" s="26">
        <v>0</v>
      </c>
      <c r="Q123" s="331"/>
      <c r="R123" s="33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18.75" x14ac:dyDescent="0.25">
      <c r="A124" s="175" t="s">
        <v>108</v>
      </c>
      <c r="B124" s="22" t="s">
        <v>9</v>
      </c>
      <c r="C124" s="22" t="s">
        <v>68</v>
      </c>
      <c r="D124" s="22" t="s">
        <v>69</v>
      </c>
      <c r="E124" s="22" t="s">
        <v>70</v>
      </c>
      <c r="F124" s="22" t="s">
        <v>63</v>
      </c>
      <c r="G124" s="22" t="s">
        <v>103</v>
      </c>
      <c r="H124" s="22"/>
      <c r="I124" s="35">
        <v>20000</v>
      </c>
      <c r="J124" s="100">
        <v>0</v>
      </c>
      <c r="K124" s="23">
        <f t="shared" si="60"/>
        <v>20000</v>
      </c>
      <c r="L124" s="93"/>
      <c r="M124" s="188"/>
      <c r="N124" s="189"/>
      <c r="O124" s="25">
        <f t="shared" si="61"/>
        <v>0</v>
      </c>
      <c r="P124" s="26"/>
      <c r="Q124" s="139"/>
      <c r="R124" s="139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37.5" customHeight="1" x14ac:dyDescent="0.25">
      <c r="A125" s="175" t="s">
        <v>109</v>
      </c>
      <c r="B125" s="22" t="s">
        <v>9</v>
      </c>
      <c r="C125" s="22" t="s">
        <v>68</v>
      </c>
      <c r="D125" s="22" t="s">
        <v>69</v>
      </c>
      <c r="E125" s="22" t="s">
        <v>70</v>
      </c>
      <c r="F125" s="22" t="s">
        <v>63</v>
      </c>
      <c r="G125" s="22" t="s">
        <v>104</v>
      </c>
      <c r="H125" s="22"/>
      <c r="I125" s="35">
        <v>20000</v>
      </c>
      <c r="J125" s="100">
        <v>0</v>
      </c>
      <c r="K125" s="23">
        <f t="shared" si="60"/>
        <v>20000</v>
      </c>
      <c r="L125" s="93"/>
      <c r="M125" s="188"/>
      <c r="N125" s="189"/>
      <c r="O125" s="25">
        <f t="shared" si="61"/>
        <v>0</v>
      </c>
      <c r="P125" s="26">
        <v>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37.5" x14ac:dyDescent="0.25">
      <c r="A126" s="175" t="s">
        <v>110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105</v>
      </c>
      <c r="H126" s="22"/>
      <c r="I126" s="35">
        <v>10000</v>
      </c>
      <c r="J126" s="100">
        <v>0</v>
      </c>
      <c r="K126" s="23">
        <f t="shared" si="60"/>
        <v>10000</v>
      </c>
      <c r="L126" s="93"/>
      <c r="M126" s="188"/>
      <c r="N126" s="189"/>
      <c r="O126" s="25">
        <f t="shared" si="61"/>
        <v>0</v>
      </c>
      <c r="P126" s="26">
        <f t="shared" ref="P126:P145" si="62">J126/I126*100</f>
        <v>0</v>
      </c>
      <c r="Q126" s="331"/>
      <c r="R126" s="33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82.5" hidden="1" customHeight="1" x14ac:dyDescent="0.25">
      <c r="A127" s="190" t="s">
        <v>125</v>
      </c>
      <c r="B127" s="41" t="s">
        <v>9</v>
      </c>
      <c r="C127" s="41" t="s">
        <v>12</v>
      </c>
      <c r="D127" s="41" t="s">
        <v>12</v>
      </c>
      <c r="E127" s="41" t="s">
        <v>126</v>
      </c>
      <c r="F127" s="41"/>
      <c r="G127" s="16"/>
      <c r="H127" s="16"/>
      <c r="I127" s="17">
        <f>I128+I129</f>
        <v>0</v>
      </c>
      <c r="J127" s="17">
        <f t="shared" ref="J127:K127" si="63">J128+J129</f>
        <v>0</v>
      </c>
      <c r="K127" s="17">
        <f t="shared" si="63"/>
        <v>0</v>
      </c>
      <c r="L127" s="69"/>
      <c r="M127" s="186"/>
      <c r="N127" s="187"/>
      <c r="O127" s="20">
        <f t="shared" si="61"/>
        <v>0</v>
      </c>
      <c r="P127" s="21" t="e">
        <f t="shared" si="62"/>
        <v>#DIV/0!</v>
      </c>
      <c r="Q127" s="321"/>
      <c r="R127" s="32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18.75" hidden="1" x14ac:dyDescent="0.25">
      <c r="A128" s="175" t="s">
        <v>27</v>
      </c>
      <c r="B128" s="22" t="s">
        <v>9</v>
      </c>
      <c r="C128" s="22" t="s">
        <v>12</v>
      </c>
      <c r="D128" s="22" t="s">
        <v>12</v>
      </c>
      <c r="E128" s="43" t="s">
        <v>126</v>
      </c>
      <c r="F128" s="22" t="s">
        <v>63</v>
      </c>
      <c r="G128" s="22" t="s">
        <v>28</v>
      </c>
      <c r="H128" s="22"/>
      <c r="I128" s="121">
        <v>0</v>
      </c>
      <c r="J128" s="122">
        <v>0</v>
      </c>
      <c r="K128" s="35">
        <f>I128-J128</f>
        <v>0</v>
      </c>
      <c r="L128" s="57"/>
      <c r="M128" s="188"/>
      <c r="N128" s="189"/>
      <c r="O128" s="25">
        <f t="shared" si="61"/>
        <v>0</v>
      </c>
      <c r="P128" s="26" t="e">
        <f t="shared" si="62"/>
        <v>#DIV/0!</v>
      </c>
      <c r="Q128" s="325"/>
      <c r="R128" s="326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hidden="1" x14ac:dyDescent="0.25">
      <c r="A129" s="99" t="s">
        <v>31</v>
      </c>
      <c r="B129" s="22" t="s">
        <v>9</v>
      </c>
      <c r="C129" s="22" t="s">
        <v>12</v>
      </c>
      <c r="D129" s="22" t="s">
        <v>12</v>
      </c>
      <c r="E129" s="43" t="s">
        <v>126</v>
      </c>
      <c r="F129" s="22" t="s">
        <v>63</v>
      </c>
      <c r="G129" s="22" t="s">
        <v>32</v>
      </c>
      <c r="H129" s="22"/>
      <c r="I129" s="121">
        <v>0</v>
      </c>
      <c r="J129" s="122">
        <v>0</v>
      </c>
      <c r="K129" s="35">
        <f>I129-J129</f>
        <v>0</v>
      </c>
      <c r="L129" s="49"/>
      <c r="M129" s="188"/>
      <c r="N129" s="189"/>
      <c r="O129" s="25">
        <f t="shared" si="61"/>
        <v>0</v>
      </c>
      <c r="P129" s="26" t="e">
        <f t="shared" si="62"/>
        <v>#DIV/0!</v>
      </c>
      <c r="Q129" s="323"/>
      <c r="R129" s="32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65.25" customHeight="1" x14ac:dyDescent="0.25">
      <c r="A130" s="199" t="s">
        <v>142</v>
      </c>
      <c r="B130" s="104" t="s">
        <v>9</v>
      </c>
      <c r="C130" s="104" t="s">
        <v>68</v>
      </c>
      <c r="D130" s="104" t="s">
        <v>14</v>
      </c>
      <c r="E130" s="104" t="s">
        <v>137</v>
      </c>
      <c r="F130" s="104"/>
      <c r="G130" s="105"/>
      <c r="H130" s="105"/>
      <c r="I130" s="17">
        <f>I131</f>
        <v>40000</v>
      </c>
      <c r="J130" s="17">
        <f t="shared" ref="J130:K130" si="64">J131</f>
        <v>0</v>
      </c>
      <c r="K130" s="17">
        <f t="shared" si="64"/>
        <v>40000</v>
      </c>
      <c r="L130" s="115"/>
      <c r="M130" s="195"/>
      <c r="N130" s="196"/>
      <c r="O130" s="20">
        <f>I130-J130-K130</f>
        <v>0</v>
      </c>
      <c r="P130" s="21">
        <f t="shared" si="62"/>
        <v>0</v>
      </c>
      <c r="Q130" s="321"/>
      <c r="R130" s="32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21" customHeight="1" x14ac:dyDescent="0.25">
      <c r="A131" s="175" t="s">
        <v>109</v>
      </c>
      <c r="B131" s="112" t="s">
        <v>9</v>
      </c>
      <c r="C131" s="112" t="s">
        <v>68</v>
      </c>
      <c r="D131" s="112" t="s">
        <v>14</v>
      </c>
      <c r="E131" s="113" t="s">
        <v>137</v>
      </c>
      <c r="F131" s="112" t="s">
        <v>63</v>
      </c>
      <c r="G131" s="112" t="s">
        <v>104</v>
      </c>
      <c r="H131" s="112"/>
      <c r="I131" s="35">
        <v>40000</v>
      </c>
      <c r="J131" s="100">
        <v>0</v>
      </c>
      <c r="K131" s="35">
        <f t="shared" ref="K131:K133" si="65">I131-J131</f>
        <v>40000</v>
      </c>
      <c r="L131" s="114"/>
      <c r="M131" s="188"/>
      <c r="N131" s="189"/>
      <c r="O131" s="25">
        <f t="shared" si="61"/>
        <v>0</v>
      </c>
      <c r="P131" s="26">
        <f t="shared" si="62"/>
        <v>0</v>
      </c>
      <c r="Q131" s="323"/>
      <c r="R131" s="3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60" hidden="1" customHeight="1" x14ac:dyDescent="0.25">
      <c r="A132" s="199" t="s">
        <v>143</v>
      </c>
      <c r="B132" s="104" t="s">
        <v>9</v>
      </c>
      <c r="C132" s="104" t="s">
        <v>12</v>
      </c>
      <c r="D132" s="104" t="s">
        <v>14</v>
      </c>
      <c r="E132" s="104" t="s">
        <v>138</v>
      </c>
      <c r="F132" s="104"/>
      <c r="G132" s="104"/>
      <c r="H132" s="104"/>
      <c r="I132" s="106">
        <f>I133</f>
        <v>0</v>
      </c>
      <c r="J132" s="106">
        <f t="shared" ref="J132:K132" si="66">J133</f>
        <v>0</v>
      </c>
      <c r="K132" s="106">
        <f t="shared" si="66"/>
        <v>0</v>
      </c>
      <c r="L132" s="115"/>
      <c r="M132" s="195"/>
      <c r="N132" s="196"/>
      <c r="O132" s="20">
        <f>I132-J132-K132</f>
        <v>0</v>
      </c>
      <c r="P132" s="21" t="e">
        <f t="shared" si="62"/>
        <v>#DIV/0!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27.75" hidden="1" customHeight="1" x14ac:dyDescent="0.25">
      <c r="A133" s="99" t="s">
        <v>47</v>
      </c>
      <c r="B133" s="112" t="s">
        <v>9</v>
      </c>
      <c r="C133" s="112" t="s">
        <v>12</v>
      </c>
      <c r="D133" s="112" t="s">
        <v>14</v>
      </c>
      <c r="E133" s="113" t="s">
        <v>138</v>
      </c>
      <c r="F133" s="112" t="s">
        <v>63</v>
      </c>
      <c r="G133" s="112" t="s">
        <v>48</v>
      </c>
      <c r="H133" s="112"/>
      <c r="I133" s="118">
        <v>0</v>
      </c>
      <c r="J133" s="158">
        <v>0</v>
      </c>
      <c r="K133" s="118">
        <f t="shared" si="65"/>
        <v>0</v>
      </c>
      <c r="L133" s="114"/>
      <c r="M133" s="188"/>
      <c r="N133" s="189"/>
      <c r="O133" s="119">
        <f t="shared" si="61"/>
        <v>0</v>
      </c>
      <c r="P133" s="120" t="e">
        <f t="shared" si="62"/>
        <v>#DIV/0!</v>
      </c>
      <c r="Q133" s="323"/>
      <c r="R133" s="3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82.5" hidden="1" customHeight="1" x14ac:dyDescent="0.25">
      <c r="A134" s="190" t="s">
        <v>127</v>
      </c>
      <c r="B134" s="104" t="s">
        <v>9</v>
      </c>
      <c r="C134" s="104" t="s">
        <v>12</v>
      </c>
      <c r="D134" s="104" t="s">
        <v>85</v>
      </c>
      <c r="E134" s="104" t="s">
        <v>86</v>
      </c>
      <c r="F134" s="104"/>
      <c r="G134" s="105"/>
      <c r="H134" s="105"/>
      <c r="I134" s="106">
        <f>I135+I136</f>
        <v>0</v>
      </c>
      <c r="J134" s="106">
        <f>J135+J136</f>
        <v>0</v>
      </c>
      <c r="K134" s="106">
        <f>K135+K136</f>
        <v>0</v>
      </c>
      <c r="L134" s="106">
        <f t="shared" ref="L134:N134" si="67">L135</f>
        <v>0</v>
      </c>
      <c r="M134" s="106">
        <f t="shared" si="67"/>
        <v>0</v>
      </c>
      <c r="N134" s="106">
        <f t="shared" si="67"/>
        <v>0</v>
      </c>
      <c r="O134" s="107">
        <f t="shared" si="61"/>
        <v>0</v>
      </c>
      <c r="P134" s="108" t="e">
        <f t="shared" si="62"/>
        <v>#DIV/0!</v>
      </c>
      <c r="Q134" s="321"/>
      <c r="R134" s="3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18.75" hidden="1" x14ac:dyDescent="0.25">
      <c r="A135" s="175" t="s">
        <v>41</v>
      </c>
      <c r="B135" s="22" t="s">
        <v>9</v>
      </c>
      <c r="C135" s="22" t="s">
        <v>12</v>
      </c>
      <c r="D135" s="22" t="s">
        <v>85</v>
      </c>
      <c r="E135" s="22" t="s">
        <v>86</v>
      </c>
      <c r="F135" s="22" t="s">
        <v>63</v>
      </c>
      <c r="G135" s="22" t="s">
        <v>42</v>
      </c>
      <c r="H135" s="22"/>
      <c r="I135" s="121"/>
      <c r="J135" s="121"/>
      <c r="K135" s="23">
        <f>I135-J135</f>
        <v>0</v>
      </c>
      <c r="L135" s="109"/>
      <c r="M135" s="110"/>
      <c r="N135" s="111"/>
      <c r="O135" s="25">
        <f>I135-J135-K135</f>
        <v>0</v>
      </c>
      <c r="P135" s="26" t="e">
        <f t="shared" si="62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18.75" hidden="1" x14ac:dyDescent="0.25">
      <c r="A136" s="99" t="s">
        <v>47</v>
      </c>
      <c r="B136" s="22" t="s">
        <v>9</v>
      </c>
      <c r="C136" s="22" t="s">
        <v>12</v>
      </c>
      <c r="D136" s="22" t="s">
        <v>85</v>
      </c>
      <c r="E136" s="22" t="s">
        <v>86</v>
      </c>
      <c r="F136" s="22" t="s">
        <v>63</v>
      </c>
      <c r="G136" s="22" t="s">
        <v>48</v>
      </c>
      <c r="H136" s="22"/>
      <c r="I136" s="121"/>
      <c r="J136" s="121">
        <v>0</v>
      </c>
      <c r="K136" s="23">
        <f>I136-J136</f>
        <v>0</v>
      </c>
      <c r="L136" s="109"/>
      <c r="M136" s="110"/>
      <c r="N136" s="111"/>
      <c r="O136" s="25">
        <f t="shared" ref="O136" si="68">I136-J136-K136</f>
        <v>0</v>
      </c>
      <c r="P136" s="26" t="e">
        <f t="shared" si="62"/>
        <v>#DIV/0!</v>
      </c>
      <c r="Q136" s="140"/>
      <c r="R136" s="14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60" hidden="1" customHeight="1" x14ac:dyDescent="0.25">
      <c r="A137" s="40" t="s">
        <v>139</v>
      </c>
      <c r="B137" s="104" t="s">
        <v>9</v>
      </c>
      <c r="C137" s="104" t="s">
        <v>12</v>
      </c>
      <c r="D137" s="104" t="s">
        <v>14</v>
      </c>
      <c r="E137" s="104" t="s">
        <v>135</v>
      </c>
      <c r="F137" s="104"/>
      <c r="G137" s="104"/>
      <c r="H137" s="104"/>
      <c r="I137" s="106">
        <f>I138</f>
        <v>0</v>
      </c>
      <c r="J137" s="106">
        <f t="shared" ref="J137:K137" si="69">J138</f>
        <v>0</v>
      </c>
      <c r="K137" s="106">
        <f t="shared" si="69"/>
        <v>0</v>
      </c>
      <c r="L137" s="115"/>
      <c r="M137" s="195"/>
      <c r="N137" s="196"/>
      <c r="O137" s="20">
        <f>I137-J137-K137</f>
        <v>0</v>
      </c>
      <c r="P137" s="21" t="e">
        <f t="shared" si="62"/>
        <v>#DIV/0!</v>
      </c>
      <c r="Q137" s="321"/>
      <c r="R137" s="32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27.75" hidden="1" customHeight="1" x14ac:dyDescent="0.25">
      <c r="A138" s="99" t="s">
        <v>47</v>
      </c>
      <c r="B138" s="112" t="s">
        <v>9</v>
      </c>
      <c r="C138" s="112" t="s">
        <v>12</v>
      </c>
      <c r="D138" s="112" t="s">
        <v>14</v>
      </c>
      <c r="E138" s="105" t="s">
        <v>144</v>
      </c>
      <c r="F138" s="112" t="s">
        <v>63</v>
      </c>
      <c r="G138" s="112" t="s">
        <v>48</v>
      </c>
      <c r="H138" s="112"/>
      <c r="I138" s="123">
        <v>0</v>
      </c>
      <c r="J138" s="124">
        <v>0</v>
      </c>
      <c r="K138" s="118">
        <f t="shared" ref="K138" si="70">I138-J138</f>
        <v>0</v>
      </c>
      <c r="L138" s="114"/>
      <c r="M138" s="188"/>
      <c r="N138" s="189"/>
      <c r="O138" s="119">
        <f t="shared" ref="O138:O140" si="71">I138-J138-K138</f>
        <v>0</v>
      </c>
      <c r="P138" s="120" t="e">
        <f t="shared" si="62"/>
        <v>#DIV/0!</v>
      </c>
      <c r="Q138" s="323"/>
      <c r="R138" s="32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16.25" customHeight="1" x14ac:dyDescent="0.25">
      <c r="A139" s="190" t="s">
        <v>154</v>
      </c>
      <c r="B139" s="41" t="s">
        <v>9</v>
      </c>
      <c r="C139" s="41" t="s">
        <v>12</v>
      </c>
      <c r="D139" s="41" t="s">
        <v>14</v>
      </c>
      <c r="E139" s="41" t="s">
        <v>155</v>
      </c>
      <c r="F139" s="41"/>
      <c r="G139" s="41"/>
      <c r="H139" s="41"/>
      <c r="I139" s="56">
        <f>I140</f>
        <v>6420.41</v>
      </c>
      <c r="J139" s="55">
        <f>J140</f>
        <v>0</v>
      </c>
      <c r="K139" s="55">
        <f>I139-J139</f>
        <v>6420.41</v>
      </c>
      <c r="L139" s="18" t="e">
        <f>L140</f>
        <v>#REF!</v>
      </c>
      <c r="M139" s="186"/>
      <c r="N139" s="187"/>
      <c r="O139" s="20">
        <f t="shared" si="71"/>
        <v>0</v>
      </c>
      <c r="P139" s="21">
        <f>J139/I139*100</f>
        <v>0</v>
      </c>
      <c r="Q139" s="331"/>
      <c r="R139" s="331"/>
      <c r="S139" s="15"/>
    </row>
    <row r="140" spans="1:50" ht="18.75" x14ac:dyDescent="0.25">
      <c r="A140" s="99" t="s">
        <v>113</v>
      </c>
      <c r="B140" s="22" t="s">
        <v>9</v>
      </c>
      <c r="C140" s="22" t="s">
        <v>12</v>
      </c>
      <c r="D140" s="22" t="s">
        <v>14</v>
      </c>
      <c r="E140" s="22" t="s">
        <v>155</v>
      </c>
      <c r="F140" s="22" t="s">
        <v>63</v>
      </c>
      <c r="G140" s="22" t="s">
        <v>114</v>
      </c>
      <c r="H140" s="22"/>
      <c r="I140" s="35">
        <v>6420.41</v>
      </c>
      <c r="J140" s="100">
        <v>0</v>
      </c>
      <c r="K140" s="34">
        <f>I140-J140</f>
        <v>6420.41</v>
      </c>
      <c r="L140" s="24" t="e">
        <f>#REF!</f>
        <v>#REF!</v>
      </c>
      <c r="M140" s="184"/>
      <c r="N140" s="185"/>
      <c r="O140" s="25">
        <f t="shared" si="71"/>
        <v>0</v>
      </c>
      <c r="P140" s="26">
        <f>J140/I140*100</f>
        <v>0</v>
      </c>
      <c r="Q140" s="331"/>
      <c r="R140" s="331"/>
      <c r="Z140" s="15"/>
      <c r="AA140" s="15"/>
      <c r="AB140" s="15"/>
      <c r="AC140" s="15"/>
      <c r="AD140" s="15"/>
    </row>
    <row r="141" spans="1:50" s="2" customFormat="1" ht="60" customHeight="1" x14ac:dyDescent="0.25">
      <c r="A141" s="199" t="s">
        <v>145</v>
      </c>
      <c r="B141" s="104" t="s">
        <v>9</v>
      </c>
      <c r="C141" s="104" t="s">
        <v>12</v>
      </c>
      <c r="D141" s="104" t="s">
        <v>12</v>
      </c>
      <c r="E141" s="104" t="s">
        <v>126</v>
      </c>
      <c r="F141" s="104"/>
      <c r="G141" s="104"/>
      <c r="H141" s="104"/>
      <c r="I141" s="106">
        <f>I142+I143</f>
        <v>130000</v>
      </c>
      <c r="J141" s="106">
        <f>J143+J142</f>
        <v>0</v>
      </c>
      <c r="K141" s="106">
        <f>K143+K142</f>
        <v>130000</v>
      </c>
      <c r="L141" s="115"/>
      <c r="M141" s="195"/>
      <c r="N141" s="196"/>
      <c r="O141" s="20">
        <f>I141-J141-K141</f>
        <v>0</v>
      </c>
      <c r="P141" s="21">
        <f t="shared" si="62"/>
        <v>0</v>
      </c>
      <c r="Q141" s="321"/>
      <c r="R141" s="32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33" customHeight="1" x14ac:dyDescent="0.25">
      <c r="A142" s="194" t="s">
        <v>27</v>
      </c>
      <c r="B142" s="112" t="s">
        <v>9</v>
      </c>
      <c r="C142" s="112" t="s">
        <v>12</v>
      </c>
      <c r="D142" s="112" t="s">
        <v>12</v>
      </c>
      <c r="E142" s="112" t="s">
        <v>126</v>
      </c>
      <c r="F142" s="112" t="s">
        <v>63</v>
      </c>
      <c r="G142" s="112" t="s">
        <v>28</v>
      </c>
      <c r="H142" s="129"/>
      <c r="I142" s="116">
        <v>99846.39</v>
      </c>
      <c r="J142" s="117">
        <v>0</v>
      </c>
      <c r="K142" s="116">
        <f>I142-J142</f>
        <v>99846.39</v>
      </c>
      <c r="L142" s="131"/>
      <c r="M142" s="184"/>
      <c r="N142" s="185"/>
      <c r="O142" s="119">
        <f t="shared" ref="O142" si="72">I142-J142-K142</f>
        <v>0</v>
      </c>
      <c r="P142" s="120">
        <f t="shared" ref="P142" si="73">J142/I142*100</f>
        <v>0</v>
      </c>
      <c r="Q142" s="325"/>
      <c r="R142" s="326"/>
    </row>
    <row r="143" spans="1:50" s="2" customFormat="1" ht="27.75" customHeight="1" x14ac:dyDescent="0.25">
      <c r="A143" s="175" t="s">
        <v>31</v>
      </c>
      <c r="B143" s="112" t="s">
        <v>9</v>
      </c>
      <c r="C143" s="112" t="s">
        <v>12</v>
      </c>
      <c r="D143" s="112" t="s">
        <v>12</v>
      </c>
      <c r="E143" s="112" t="s">
        <v>126</v>
      </c>
      <c r="F143" s="112" t="s">
        <v>63</v>
      </c>
      <c r="G143" s="112" t="s">
        <v>32</v>
      </c>
      <c r="H143" s="112"/>
      <c r="I143" s="116">
        <v>30153.61</v>
      </c>
      <c r="J143" s="117">
        <v>0</v>
      </c>
      <c r="K143" s="116">
        <f>I143-J143</f>
        <v>30153.61</v>
      </c>
      <c r="L143" s="131"/>
      <c r="M143" s="182"/>
      <c r="N143" s="183"/>
      <c r="O143" s="119">
        <f t="shared" ref="O143" si="74">I143-J143-K143</f>
        <v>0</v>
      </c>
      <c r="P143" s="120">
        <f t="shared" si="62"/>
        <v>0</v>
      </c>
      <c r="Q143" s="323"/>
      <c r="R143" s="32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60" hidden="1" customHeight="1" x14ac:dyDescent="0.25">
      <c r="A144" s="199" t="s">
        <v>148</v>
      </c>
      <c r="B144" s="104" t="s">
        <v>9</v>
      </c>
      <c r="C144" s="104" t="s">
        <v>12</v>
      </c>
      <c r="D144" s="104" t="s">
        <v>85</v>
      </c>
      <c r="E144" s="104" t="s">
        <v>147</v>
      </c>
      <c r="F144" s="104"/>
      <c r="G144" s="104"/>
      <c r="H144" s="104"/>
      <c r="I144" s="106">
        <f>I145</f>
        <v>0</v>
      </c>
      <c r="J144" s="106">
        <f t="shared" ref="J144:K146" si="75">J145</f>
        <v>0</v>
      </c>
      <c r="K144" s="106">
        <f t="shared" si="75"/>
        <v>0</v>
      </c>
      <c r="L144" s="115"/>
      <c r="M144" s="195"/>
      <c r="N144" s="196"/>
      <c r="O144" s="20">
        <f>I144-J144-K144</f>
        <v>0</v>
      </c>
      <c r="P144" s="21" t="e">
        <f t="shared" si="62"/>
        <v>#DIV/0!</v>
      </c>
      <c r="Q144" s="321"/>
      <c r="R144" s="32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s="2" customFormat="1" ht="27.75" hidden="1" customHeight="1" x14ac:dyDescent="0.25">
      <c r="A145" s="99" t="s">
        <v>43</v>
      </c>
      <c r="B145" s="112" t="s">
        <v>9</v>
      </c>
      <c r="C145" s="112" t="s">
        <v>12</v>
      </c>
      <c r="D145" s="112" t="s">
        <v>85</v>
      </c>
      <c r="E145" s="105" t="s">
        <v>147</v>
      </c>
      <c r="F145" s="112" t="s">
        <v>63</v>
      </c>
      <c r="G145" s="112" t="s">
        <v>44</v>
      </c>
      <c r="H145" s="112"/>
      <c r="I145" s="118">
        <v>0</v>
      </c>
      <c r="J145" s="158">
        <v>0</v>
      </c>
      <c r="K145" s="118">
        <f t="shared" ref="K145" si="76">I145-J145</f>
        <v>0</v>
      </c>
      <c r="L145" s="114"/>
      <c r="M145" s="188"/>
      <c r="N145" s="189"/>
      <c r="O145" s="119">
        <f t="shared" ref="O145" si="77">I145-J145-K145</f>
        <v>0</v>
      </c>
      <c r="P145" s="120" t="e">
        <f t="shared" si="62"/>
        <v>#DIV/0!</v>
      </c>
      <c r="Q145" s="323"/>
      <c r="R145" s="3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" customFormat="1" ht="41.25" customHeight="1" x14ac:dyDescent="0.25">
      <c r="A146" s="199" t="s">
        <v>161</v>
      </c>
      <c r="B146" s="104" t="s">
        <v>9</v>
      </c>
      <c r="C146" s="104" t="s">
        <v>12</v>
      </c>
      <c r="D146" s="104" t="s">
        <v>85</v>
      </c>
      <c r="E146" s="104" t="s">
        <v>162</v>
      </c>
      <c r="F146" s="104" t="s">
        <v>63</v>
      </c>
      <c r="G146" s="104" t="s">
        <v>44</v>
      </c>
      <c r="H146" s="104"/>
      <c r="I146" s="106">
        <f>I147</f>
        <v>63000</v>
      </c>
      <c r="J146" s="106">
        <f t="shared" si="75"/>
        <v>0</v>
      </c>
      <c r="K146" s="106">
        <f t="shared" si="75"/>
        <v>63000</v>
      </c>
      <c r="L146" s="115"/>
      <c r="M146" s="195"/>
      <c r="N146" s="196"/>
      <c r="O146" s="20">
        <f>I146-J146-K146</f>
        <v>0</v>
      </c>
      <c r="P146" s="21">
        <f t="shared" ref="P146:P147" si="78">J146/I146*100</f>
        <v>0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" customFormat="1" ht="27.75" customHeight="1" x14ac:dyDescent="0.25">
      <c r="A147" s="99" t="s">
        <v>43</v>
      </c>
      <c r="B147" s="112" t="s">
        <v>9</v>
      </c>
      <c r="C147" s="112" t="s">
        <v>12</v>
      </c>
      <c r="D147" s="112" t="s">
        <v>85</v>
      </c>
      <c r="E147" s="113" t="s">
        <v>162</v>
      </c>
      <c r="F147" s="112" t="s">
        <v>63</v>
      </c>
      <c r="G147" s="112" t="s">
        <v>42</v>
      </c>
      <c r="H147" s="112"/>
      <c r="I147" s="118">
        <v>63000</v>
      </c>
      <c r="J147" s="158">
        <v>0</v>
      </c>
      <c r="K147" s="118">
        <f t="shared" ref="K147" si="79">I147-J147</f>
        <v>63000</v>
      </c>
      <c r="L147" s="114"/>
      <c r="M147" s="188"/>
      <c r="N147" s="189"/>
      <c r="O147" s="119">
        <f>I147-J147-K147</f>
        <v>0</v>
      </c>
      <c r="P147" s="120">
        <f t="shared" si="78"/>
        <v>0</v>
      </c>
      <c r="Q147" s="323"/>
      <c r="R147" s="3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2" customFormat="1" ht="22.5" customHeight="1" x14ac:dyDescent="0.3">
      <c r="A148" s="333" t="s">
        <v>71</v>
      </c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5"/>
      <c r="Q148" s="336"/>
      <c r="R148" s="337"/>
    </row>
    <row r="149" spans="1:50" ht="78" x14ac:dyDescent="0.25">
      <c r="A149" s="51" t="s">
        <v>8</v>
      </c>
      <c r="B149" s="52" t="s">
        <v>9</v>
      </c>
      <c r="C149" s="52"/>
      <c r="D149" s="52"/>
      <c r="E149" s="52"/>
      <c r="F149" s="52"/>
      <c r="G149" s="52"/>
      <c r="H149" s="52"/>
      <c r="I149" s="53">
        <f>I150+I161+I157+I165+I167+I172+I175+I178+I153+I155</f>
        <v>16812171.509999998</v>
      </c>
      <c r="J149" s="53">
        <f>J150+J161+J157+J167+J172+J165+J175+J178+J153+J155</f>
        <v>0</v>
      </c>
      <c r="K149" s="53">
        <f>K150+K161+K157+K165+K167+K172+K175+K178+K153+K155</f>
        <v>16812171.509999998</v>
      </c>
      <c r="L149" s="53" t="e">
        <f>L150+L161</f>
        <v>#REF!</v>
      </c>
      <c r="M149" s="53" t="e">
        <f>M150+M161</f>
        <v>#REF!</v>
      </c>
      <c r="N149" s="53" t="e">
        <f>N150+N161</f>
        <v>#REF!</v>
      </c>
      <c r="O149" s="53">
        <f>I149-J149-K149</f>
        <v>0</v>
      </c>
      <c r="P149" s="53">
        <f>P150+P161</f>
        <v>0</v>
      </c>
      <c r="Q149" s="331"/>
      <c r="R149" s="331"/>
    </row>
    <row r="150" spans="1:50" ht="24" customHeight="1" x14ac:dyDescent="0.25">
      <c r="A150" s="173" t="s">
        <v>11</v>
      </c>
      <c r="B150" s="8" t="s">
        <v>9</v>
      </c>
      <c r="C150" s="8" t="s">
        <v>12</v>
      </c>
      <c r="D150" s="8"/>
      <c r="E150" s="8"/>
      <c r="F150" s="8"/>
      <c r="G150" s="8"/>
      <c r="H150" s="8"/>
      <c r="I150" s="9">
        <f>I151</f>
        <v>248300</v>
      </c>
      <c r="J150" s="9">
        <f t="shared" ref="J150:N150" si="80">J151</f>
        <v>0</v>
      </c>
      <c r="K150" s="9">
        <f t="shared" ref="K150:K156" si="81">I150-J150</f>
        <v>248300</v>
      </c>
      <c r="L150" s="9" t="e">
        <f t="shared" si="80"/>
        <v>#REF!</v>
      </c>
      <c r="M150" s="9">
        <f t="shared" si="80"/>
        <v>0</v>
      </c>
      <c r="N150" s="9">
        <f t="shared" si="80"/>
        <v>0</v>
      </c>
      <c r="O150" s="9">
        <f t="shared" ref="O150:O170" si="82">I150-J150-K150</f>
        <v>0</v>
      </c>
      <c r="P150" s="12">
        <f t="shared" ref="P150:P159" si="83">J150/I150*100</f>
        <v>0</v>
      </c>
      <c r="Q150" s="331"/>
      <c r="R150" s="331"/>
    </row>
    <row r="151" spans="1:50" ht="102.75" customHeight="1" x14ac:dyDescent="0.25">
      <c r="A151" s="190" t="s">
        <v>153</v>
      </c>
      <c r="B151" s="41" t="s">
        <v>9</v>
      </c>
      <c r="C151" s="41" t="s">
        <v>12</v>
      </c>
      <c r="D151" s="41" t="s">
        <v>14</v>
      </c>
      <c r="E151" s="41" t="s">
        <v>72</v>
      </c>
      <c r="F151" s="41"/>
      <c r="G151" s="41"/>
      <c r="H151" s="41"/>
      <c r="I151" s="56">
        <f>I152</f>
        <v>248300</v>
      </c>
      <c r="J151" s="55">
        <f>J152</f>
        <v>0</v>
      </c>
      <c r="K151" s="55">
        <f t="shared" si="81"/>
        <v>248300</v>
      </c>
      <c r="L151" s="18" t="e">
        <f>L152</f>
        <v>#REF!</v>
      </c>
      <c r="M151" s="186"/>
      <c r="N151" s="187"/>
      <c r="O151" s="20">
        <f t="shared" si="82"/>
        <v>0</v>
      </c>
      <c r="P151" s="21">
        <f t="shared" si="83"/>
        <v>0</v>
      </c>
      <c r="Q151" s="331"/>
      <c r="R151" s="331"/>
      <c r="S151" s="15"/>
    </row>
    <row r="152" spans="1:50" ht="18.75" x14ac:dyDescent="0.25">
      <c r="A152" s="99" t="s">
        <v>113</v>
      </c>
      <c r="B152" s="22" t="s">
        <v>9</v>
      </c>
      <c r="C152" s="22" t="s">
        <v>12</v>
      </c>
      <c r="D152" s="22" t="s">
        <v>14</v>
      </c>
      <c r="E152" s="43" t="s">
        <v>72</v>
      </c>
      <c r="F152" s="22" t="s">
        <v>63</v>
      </c>
      <c r="G152" s="22" t="s">
        <v>114</v>
      </c>
      <c r="H152" s="22"/>
      <c r="I152" s="35">
        <v>248300</v>
      </c>
      <c r="J152" s="100">
        <v>0</v>
      </c>
      <c r="K152" s="34">
        <f t="shared" si="81"/>
        <v>248300</v>
      </c>
      <c r="L152" s="24" t="e">
        <f>#REF!</f>
        <v>#REF!</v>
      </c>
      <c r="M152" s="184"/>
      <c r="N152" s="185"/>
      <c r="O152" s="25">
        <f t="shared" si="82"/>
        <v>0</v>
      </c>
      <c r="P152" s="26">
        <f t="shared" si="83"/>
        <v>0</v>
      </c>
      <c r="Q152" s="331"/>
      <c r="R152" s="331"/>
      <c r="Z152" s="15"/>
      <c r="AA152" s="15"/>
      <c r="AB152" s="15"/>
      <c r="AC152" s="15"/>
      <c r="AD152" s="15"/>
    </row>
    <row r="153" spans="1:50" ht="102.75" customHeight="1" x14ac:dyDescent="0.25">
      <c r="A153" s="190" t="s">
        <v>154</v>
      </c>
      <c r="B153" s="41" t="s">
        <v>9</v>
      </c>
      <c r="C153" s="41" t="s">
        <v>12</v>
      </c>
      <c r="D153" s="41" t="s">
        <v>14</v>
      </c>
      <c r="E153" s="41" t="s">
        <v>159</v>
      </c>
      <c r="F153" s="41"/>
      <c r="G153" s="41"/>
      <c r="H153" s="41"/>
      <c r="I153" s="56">
        <f>I154</f>
        <v>314600</v>
      </c>
      <c r="J153" s="55">
        <f>J154</f>
        <v>0</v>
      </c>
      <c r="K153" s="55">
        <f t="shared" si="81"/>
        <v>314600</v>
      </c>
      <c r="L153" s="18" t="e">
        <f>L154</f>
        <v>#REF!</v>
      </c>
      <c r="M153" s="186"/>
      <c r="N153" s="187"/>
      <c r="O153" s="20">
        <f t="shared" si="82"/>
        <v>0</v>
      </c>
      <c r="P153" s="21">
        <f t="shared" si="83"/>
        <v>0</v>
      </c>
      <c r="Q153" s="331"/>
      <c r="R153" s="331"/>
      <c r="S153" s="15"/>
    </row>
    <row r="154" spans="1:50" ht="18.75" x14ac:dyDescent="0.25">
      <c r="A154" s="99" t="s">
        <v>113</v>
      </c>
      <c r="B154" s="22" t="s">
        <v>9</v>
      </c>
      <c r="C154" s="22" t="s">
        <v>12</v>
      </c>
      <c r="D154" s="22" t="s">
        <v>14</v>
      </c>
      <c r="E154" s="43" t="s">
        <v>159</v>
      </c>
      <c r="F154" s="22" t="s">
        <v>63</v>
      </c>
      <c r="G154" s="22" t="s">
        <v>114</v>
      </c>
      <c r="H154" s="22"/>
      <c r="I154" s="35">
        <v>314600</v>
      </c>
      <c r="J154" s="100">
        <v>0</v>
      </c>
      <c r="K154" s="34">
        <f t="shared" si="81"/>
        <v>314600</v>
      </c>
      <c r="L154" s="24" t="e">
        <f>#REF!</f>
        <v>#REF!</v>
      </c>
      <c r="M154" s="184"/>
      <c r="N154" s="185"/>
      <c r="O154" s="25">
        <f t="shared" si="82"/>
        <v>0</v>
      </c>
      <c r="P154" s="26">
        <f t="shared" si="83"/>
        <v>0</v>
      </c>
      <c r="Q154" s="331"/>
      <c r="R154" s="331"/>
      <c r="Z154" s="15"/>
      <c r="AA154" s="15"/>
      <c r="AB154" s="15"/>
      <c r="AC154" s="15"/>
      <c r="AD154" s="15"/>
    </row>
    <row r="155" spans="1:50" ht="117.75" customHeight="1" x14ac:dyDescent="0.25">
      <c r="A155" s="190" t="s">
        <v>154</v>
      </c>
      <c r="B155" s="41" t="s">
        <v>9</v>
      </c>
      <c r="C155" s="41" t="s">
        <v>12</v>
      </c>
      <c r="D155" s="41" t="s">
        <v>14</v>
      </c>
      <c r="E155" s="41" t="s">
        <v>160</v>
      </c>
      <c r="F155" s="41"/>
      <c r="G155" s="41"/>
      <c r="H155" s="41"/>
      <c r="I155" s="56">
        <f>I156</f>
        <v>4398775.51</v>
      </c>
      <c r="J155" s="55">
        <f>J156</f>
        <v>0</v>
      </c>
      <c r="K155" s="55">
        <f t="shared" si="81"/>
        <v>4398775.51</v>
      </c>
      <c r="L155" s="18" t="e">
        <f>L156</f>
        <v>#REF!</v>
      </c>
      <c r="M155" s="186"/>
      <c r="N155" s="187"/>
      <c r="O155" s="20">
        <f t="shared" si="82"/>
        <v>0</v>
      </c>
      <c r="P155" s="21">
        <f t="shared" si="83"/>
        <v>0</v>
      </c>
      <c r="Q155" s="331"/>
      <c r="R155" s="331"/>
      <c r="S155" s="15"/>
    </row>
    <row r="156" spans="1:50" ht="18.75" x14ac:dyDescent="0.25">
      <c r="A156" s="99" t="s">
        <v>113</v>
      </c>
      <c r="B156" s="22" t="s">
        <v>9</v>
      </c>
      <c r="C156" s="22" t="s">
        <v>12</v>
      </c>
      <c r="D156" s="22" t="s">
        <v>14</v>
      </c>
      <c r="E156" s="43" t="s">
        <v>160</v>
      </c>
      <c r="F156" s="22" t="s">
        <v>22</v>
      </c>
      <c r="G156" s="22" t="s">
        <v>114</v>
      </c>
      <c r="H156" s="22"/>
      <c r="I156" s="35">
        <v>4398775.51</v>
      </c>
      <c r="J156" s="100">
        <v>0</v>
      </c>
      <c r="K156" s="34">
        <f t="shared" si="81"/>
        <v>4398775.51</v>
      </c>
      <c r="L156" s="24" t="e">
        <f>#REF!</f>
        <v>#REF!</v>
      </c>
      <c r="M156" s="184"/>
      <c r="N156" s="185"/>
      <c r="O156" s="25">
        <f t="shared" si="82"/>
        <v>0</v>
      </c>
      <c r="P156" s="26">
        <f t="shared" si="83"/>
        <v>0</v>
      </c>
      <c r="Q156" s="331"/>
      <c r="R156" s="331"/>
      <c r="Z156" s="15"/>
      <c r="AA156" s="15"/>
      <c r="AB156" s="15"/>
      <c r="AC156" s="15"/>
      <c r="AD156" s="15"/>
    </row>
    <row r="157" spans="1:50" ht="56.25" hidden="1" x14ac:dyDescent="0.25">
      <c r="A157" s="199" t="s">
        <v>143</v>
      </c>
      <c r="B157" s="104" t="s">
        <v>9</v>
      </c>
      <c r="C157" s="104" t="s">
        <v>12</v>
      </c>
      <c r="D157" s="104" t="s">
        <v>14</v>
      </c>
      <c r="E157" s="104" t="s">
        <v>138</v>
      </c>
      <c r="F157" s="104"/>
      <c r="G157" s="104"/>
      <c r="H157" s="104"/>
      <c r="I157" s="106">
        <f>I159+I158+I160</f>
        <v>0</v>
      </c>
      <c r="J157" s="106">
        <f>J159+J158+J160</f>
        <v>0</v>
      </c>
      <c r="K157" s="106">
        <f t="shared" ref="K157" si="84">K159</f>
        <v>0</v>
      </c>
      <c r="L157" s="115"/>
      <c r="M157" s="195"/>
      <c r="N157" s="196"/>
      <c r="O157" s="20">
        <f>I157-J157-K157</f>
        <v>0</v>
      </c>
      <c r="P157" s="21" t="e">
        <f t="shared" si="83"/>
        <v>#DIV/0!</v>
      </c>
      <c r="Q157" s="331"/>
      <c r="R157" s="331"/>
      <c r="Z157" s="15"/>
      <c r="AA157" s="15"/>
      <c r="AB157" s="15"/>
      <c r="AC157" s="15"/>
      <c r="AD157" s="15"/>
    </row>
    <row r="158" spans="1:50" ht="18.75" hidden="1" x14ac:dyDescent="0.25">
      <c r="A158" s="200" t="s">
        <v>43</v>
      </c>
      <c r="B158" s="112" t="s">
        <v>9</v>
      </c>
      <c r="C158" s="112" t="s">
        <v>12</v>
      </c>
      <c r="D158" s="112" t="s">
        <v>14</v>
      </c>
      <c r="E158" s="113" t="s">
        <v>138</v>
      </c>
      <c r="F158" s="112" t="s">
        <v>63</v>
      </c>
      <c r="G158" s="112" t="s">
        <v>44</v>
      </c>
      <c r="H158" s="129"/>
      <c r="I158" s="118">
        <v>0</v>
      </c>
      <c r="J158" s="158">
        <v>0</v>
      </c>
      <c r="K158" s="116"/>
      <c r="L158" s="135"/>
      <c r="M158" s="182"/>
      <c r="N158" s="183"/>
      <c r="O158" s="119"/>
      <c r="P158" s="120"/>
      <c r="Q158" s="331"/>
      <c r="R158" s="331"/>
      <c r="Z158" s="15"/>
      <c r="AA158" s="15"/>
      <c r="AB158" s="15"/>
      <c r="AC158" s="15"/>
      <c r="AD158" s="15"/>
    </row>
    <row r="159" spans="1:50" ht="25.5" hidden="1" customHeight="1" x14ac:dyDescent="0.25">
      <c r="A159" s="99" t="s">
        <v>47</v>
      </c>
      <c r="B159" s="112" t="s">
        <v>9</v>
      </c>
      <c r="C159" s="112" t="s">
        <v>12</v>
      </c>
      <c r="D159" s="112" t="s">
        <v>14</v>
      </c>
      <c r="E159" s="113" t="s">
        <v>138</v>
      </c>
      <c r="F159" s="112" t="s">
        <v>63</v>
      </c>
      <c r="G159" s="112" t="s">
        <v>48</v>
      </c>
      <c r="H159" s="112"/>
      <c r="I159" s="118">
        <v>0</v>
      </c>
      <c r="J159" s="158">
        <v>0</v>
      </c>
      <c r="K159" s="118">
        <f t="shared" ref="K159:K171" si="85">I159-J159</f>
        <v>0</v>
      </c>
      <c r="L159" s="114"/>
      <c r="M159" s="188"/>
      <c r="N159" s="189"/>
      <c r="O159" s="119">
        <f t="shared" ref="O159" si="86">I159-J159-K159</f>
        <v>0</v>
      </c>
      <c r="P159" s="120" t="e">
        <f t="shared" si="83"/>
        <v>#DIV/0!</v>
      </c>
      <c r="Q159" s="331"/>
      <c r="R159" s="331"/>
      <c r="Z159" s="15"/>
      <c r="AA159" s="15"/>
      <c r="AB159" s="15"/>
      <c r="AC159" s="15"/>
      <c r="AD159" s="15"/>
    </row>
    <row r="160" spans="1:50" ht="25.5" hidden="1" customHeight="1" x14ac:dyDescent="0.25">
      <c r="A160" s="175" t="s">
        <v>109</v>
      </c>
      <c r="B160" s="112" t="s">
        <v>9</v>
      </c>
      <c r="C160" s="112" t="s">
        <v>12</v>
      </c>
      <c r="D160" s="112" t="s">
        <v>14</v>
      </c>
      <c r="E160" s="113" t="s">
        <v>138</v>
      </c>
      <c r="F160" s="112" t="s">
        <v>63</v>
      </c>
      <c r="G160" s="112" t="s">
        <v>104</v>
      </c>
      <c r="H160" s="112"/>
      <c r="I160" s="118">
        <v>0</v>
      </c>
      <c r="J160" s="158">
        <v>0</v>
      </c>
      <c r="K160" s="118"/>
      <c r="L160" s="114"/>
      <c r="M160" s="188"/>
      <c r="N160" s="189"/>
      <c r="O160" s="119"/>
      <c r="P160" s="120"/>
      <c r="Q160" s="331"/>
      <c r="R160" s="331"/>
      <c r="Z160" s="15"/>
      <c r="AA160" s="15"/>
      <c r="AB160" s="15"/>
      <c r="AC160" s="15"/>
      <c r="AD160" s="15"/>
    </row>
    <row r="161" spans="1:50" s="47" customFormat="1" ht="19.5" x14ac:dyDescent="0.35">
      <c r="A161" s="58" t="s">
        <v>75</v>
      </c>
      <c r="B161" s="59" t="s">
        <v>9</v>
      </c>
      <c r="C161" s="59" t="s">
        <v>76</v>
      </c>
      <c r="D161" s="59"/>
      <c r="E161" s="59"/>
      <c r="F161" s="59"/>
      <c r="G161" s="59"/>
      <c r="H161" s="59"/>
      <c r="I161" s="60">
        <f t="shared" ref="I161:J165" si="87">I162</f>
        <v>5202484</v>
      </c>
      <c r="J161" s="60">
        <f t="shared" si="87"/>
        <v>0</v>
      </c>
      <c r="K161" s="60">
        <f t="shared" si="85"/>
        <v>5202484</v>
      </c>
      <c r="L161" s="60" t="e">
        <f>L162+#REF!</f>
        <v>#REF!</v>
      </c>
      <c r="M161" s="60" t="e">
        <f>M162+#REF!</f>
        <v>#REF!</v>
      </c>
      <c r="N161" s="60" t="e">
        <f>N162+#REF!</f>
        <v>#REF!</v>
      </c>
      <c r="O161" s="60">
        <f t="shared" si="82"/>
        <v>0</v>
      </c>
      <c r="P161" s="61">
        <f t="shared" ref="P161:P162" si="88">J161*100/I161</f>
        <v>0</v>
      </c>
      <c r="Q161" s="331"/>
      <c r="R161" s="331"/>
    </row>
    <row r="162" spans="1:50" ht="19.5" x14ac:dyDescent="0.35">
      <c r="A162" s="62" t="s">
        <v>77</v>
      </c>
      <c r="B162" s="63" t="s">
        <v>9</v>
      </c>
      <c r="C162" s="63" t="s">
        <v>76</v>
      </c>
      <c r="D162" s="63" t="s">
        <v>78</v>
      </c>
      <c r="E162" s="63"/>
      <c r="F162" s="63"/>
      <c r="G162" s="63"/>
      <c r="H162" s="63"/>
      <c r="I162" s="125">
        <f t="shared" si="87"/>
        <v>5202484</v>
      </c>
      <c r="J162" s="125">
        <f t="shared" si="87"/>
        <v>0</v>
      </c>
      <c r="K162" s="64">
        <f t="shared" si="85"/>
        <v>5202484</v>
      </c>
      <c r="L162" s="64" t="e">
        <f t="shared" ref="L162:N162" si="89">L163</f>
        <v>#REF!</v>
      </c>
      <c r="M162" s="64">
        <f t="shared" si="89"/>
        <v>0</v>
      </c>
      <c r="N162" s="64">
        <f t="shared" si="89"/>
        <v>0</v>
      </c>
      <c r="O162" s="64">
        <f t="shared" si="82"/>
        <v>0</v>
      </c>
      <c r="P162" s="65">
        <f t="shared" si="88"/>
        <v>0</v>
      </c>
      <c r="Q162" s="331"/>
      <c r="R162" s="331"/>
    </row>
    <row r="163" spans="1:50" ht="135.75" customHeight="1" x14ac:dyDescent="0.25">
      <c r="A163" s="86" t="s">
        <v>79</v>
      </c>
      <c r="B163" s="41" t="s">
        <v>9</v>
      </c>
      <c r="C163" s="41" t="s">
        <v>76</v>
      </c>
      <c r="D163" s="41" t="s">
        <v>78</v>
      </c>
      <c r="E163" s="66">
        <v>7110175110</v>
      </c>
      <c r="F163" s="41"/>
      <c r="G163" s="41"/>
      <c r="H163" s="41"/>
      <c r="I163" s="17">
        <f t="shared" si="87"/>
        <v>5202484</v>
      </c>
      <c r="J163" s="17">
        <f t="shared" si="87"/>
        <v>0</v>
      </c>
      <c r="K163" s="17">
        <f t="shared" si="85"/>
        <v>5202484</v>
      </c>
      <c r="L163" s="18" t="e">
        <f>L164</f>
        <v>#REF!</v>
      </c>
      <c r="M163" s="186"/>
      <c r="N163" s="187"/>
      <c r="O163" s="20">
        <f t="shared" si="82"/>
        <v>0</v>
      </c>
      <c r="P163" s="21">
        <f>J163/I163*100</f>
        <v>0</v>
      </c>
      <c r="Q163" s="331"/>
      <c r="R163" s="331"/>
    </row>
    <row r="164" spans="1:50" s="46" customFormat="1" ht="37.5" x14ac:dyDescent="0.25">
      <c r="A164" s="175" t="s">
        <v>93</v>
      </c>
      <c r="B164" s="22" t="s">
        <v>9</v>
      </c>
      <c r="C164" s="22" t="s">
        <v>76</v>
      </c>
      <c r="D164" s="22" t="s">
        <v>78</v>
      </c>
      <c r="E164" s="67">
        <v>7110175100</v>
      </c>
      <c r="F164" s="22" t="s">
        <v>63</v>
      </c>
      <c r="G164" s="22" t="s">
        <v>94</v>
      </c>
      <c r="H164" s="22"/>
      <c r="I164" s="35">
        <v>5202484</v>
      </c>
      <c r="J164" s="35">
        <v>0</v>
      </c>
      <c r="K164" s="23">
        <f t="shared" si="85"/>
        <v>5202484</v>
      </c>
      <c r="L164" s="24" t="e">
        <f>#REF!</f>
        <v>#REF!</v>
      </c>
      <c r="M164" s="182"/>
      <c r="N164" s="183"/>
      <c r="O164" s="25">
        <f t="shared" si="82"/>
        <v>0</v>
      </c>
      <c r="P164" s="26">
        <f t="shared" ref="P164" si="90">J164/I164*100</f>
        <v>0</v>
      </c>
      <c r="Q164" s="331"/>
      <c r="R164" s="331"/>
      <c r="S164" s="1"/>
      <c r="T164" s="1"/>
      <c r="U164" s="1"/>
      <c r="V164" s="1"/>
      <c r="W164" s="1"/>
      <c r="X164" s="1"/>
      <c r="Y164" s="1"/>
      <c r="Z164" s="68"/>
      <c r="AA164" s="68"/>
      <c r="AB164" s="68"/>
      <c r="AC164" s="68"/>
      <c r="AD164" s="68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62.25" hidden="1" customHeight="1" x14ac:dyDescent="0.25">
      <c r="A165" s="40" t="s">
        <v>139</v>
      </c>
      <c r="B165" s="41" t="s">
        <v>9</v>
      </c>
      <c r="C165" s="41" t="s">
        <v>12</v>
      </c>
      <c r="D165" s="41" t="s">
        <v>14</v>
      </c>
      <c r="E165" s="66" t="s">
        <v>135</v>
      </c>
      <c r="F165" s="41"/>
      <c r="G165" s="41"/>
      <c r="H165" s="41"/>
      <c r="I165" s="17">
        <f t="shared" si="87"/>
        <v>0</v>
      </c>
      <c r="J165" s="17">
        <f t="shared" si="87"/>
        <v>0</v>
      </c>
      <c r="K165" s="17">
        <f t="shared" si="85"/>
        <v>0</v>
      </c>
      <c r="L165" s="18" t="e">
        <f>L166</f>
        <v>#REF!</v>
      </c>
      <c r="M165" s="186"/>
      <c r="N165" s="187"/>
      <c r="O165" s="20">
        <f t="shared" si="82"/>
        <v>0</v>
      </c>
      <c r="P165" s="21" t="e">
        <f>J165/I165*100</f>
        <v>#DIV/0!</v>
      </c>
      <c r="Q165" s="331"/>
      <c r="R165" s="331"/>
    </row>
    <row r="166" spans="1:50" s="46" customFormat="1" ht="18.75" hidden="1" x14ac:dyDescent="0.25">
      <c r="A166" s="99" t="s">
        <v>47</v>
      </c>
      <c r="B166" s="22" t="s">
        <v>9</v>
      </c>
      <c r="C166" s="16" t="s">
        <v>12</v>
      </c>
      <c r="D166" s="16" t="s">
        <v>14</v>
      </c>
      <c r="E166" s="134" t="s">
        <v>135</v>
      </c>
      <c r="F166" s="22" t="s">
        <v>63</v>
      </c>
      <c r="G166" s="22" t="s">
        <v>48</v>
      </c>
      <c r="H166" s="22"/>
      <c r="I166" s="35">
        <v>0</v>
      </c>
      <c r="J166" s="35">
        <v>0</v>
      </c>
      <c r="K166" s="23">
        <f t="shared" si="85"/>
        <v>0</v>
      </c>
      <c r="L166" s="24" t="e">
        <f>#REF!</f>
        <v>#REF!</v>
      </c>
      <c r="M166" s="182"/>
      <c r="N166" s="183"/>
      <c r="O166" s="25">
        <f t="shared" si="82"/>
        <v>0</v>
      </c>
      <c r="P166" s="26" t="e">
        <f t="shared" ref="P166" si="91">J166/I166*100</f>
        <v>#DIV/0!</v>
      </c>
      <c r="Q166" s="331"/>
      <c r="R166" s="331"/>
      <c r="S166" s="1"/>
      <c r="T166" s="1"/>
      <c r="U166" s="1"/>
      <c r="V166" s="1"/>
      <c r="W166" s="1"/>
      <c r="X166" s="1"/>
      <c r="Y166" s="1"/>
      <c r="Z166" s="68"/>
      <c r="AA166" s="68"/>
      <c r="AB166" s="68"/>
      <c r="AC166" s="68"/>
      <c r="AD166" s="68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62.25" hidden="1" customHeight="1" x14ac:dyDescent="0.25">
      <c r="A167" s="199" t="s">
        <v>148</v>
      </c>
      <c r="B167" s="41" t="s">
        <v>9</v>
      </c>
      <c r="C167" s="41" t="s">
        <v>12</v>
      </c>
      <c r="D167" s="41" t="s">
        <v>85</v>
      </c>
      <c r="E167" s="66">
        <v>7010470790</v>
      </c>
      <c r="F167" s="41"/>
      <c r="G167" s="41"/>
      <c r="H167" s="41"/>
      <c r="I167" s="17">
        <f>I170+I168+I169+I171</f>
        <v>0</v>
      </c>
      <c r="J167" s="17">
        <f>J170+J168+J169+J171</f>
        <v>0</v>
      </c>
      <c r="K167" s="17">
        <f t="shared" si="85"/>
        <v>0</v>
      </c>
      <c r="L167" s="18" t="e">
        <f>L170</f>
        <v>#REF!</v>
      </c>
      <c r="M167" s="186"/>
      <c r="N167" s="187"/>
      <c r="O167" s="20">
        <f t="shared" si="82"/>
        <v>0</v>
      </c>
      <c r="P167" s="21" t="e">
        <f>J167/I167*100</f>
        <v>#DIV/0!</v>
      </c>
      <c r="Q167" s="331"/>
      <c r="R167" s="331"/>
    </row>
    <row r="168" spans="1:50" ht="27" hidden="1" customHeight="1" x14ac:dyDescent="0.25">
      <c r="A168" s="200" t="s">
        <v>56</v>
      </c>
      <c r="B168" s="22" t="s">
        <v>9</v>
      </c>
      <c r="C168" s="22" t="s">
        <v>12</v>
      </c>
      <c r="D168" s="22" t="s">
        <v>85</v>
      </c>
      <c r="E168" s="67">
        <v>7010470790</v>
      </c>
      <c r="F168" s="22" t="s">
        <v>63</v>
      </c>
      <c r="G168" s="22" t="s">
        <v>38</v>
      </c>
      <c r="H168" s="22"/>
      <c r="I168" s="23"/>
      <c r="J168" s="23"/>
      <c r="K168" s="23">
        <f>I168-J168</f>
        <v>0</v>
      </c>
      <c r="L168" s="24"/>
      <c r="M168" s="182"/>
      <c r="N168" s="183"/>
      <c r="O168" s="25"/>
      <c r="P168" s="26"/>
      <c r="Q168" s="331"/>
      <c r="R168" s="331"/>
    </row>
    <row r="169" spans="1:50" ht="20.25" hidden="1" customHeight="1" x14ac:dyDescent="0.25">
      <c r="A169" s="200" t="s">
        <v>43</v>
      </c>
      <c r="B169" s="22" t="s">
        <v>9</v>
      </c>
      <c r="C169" s="22" t="s">
        <v>12</v>
      </c>
      <c r="D169" s="22" t="s">
        <v>85</v>
      </c>
      <c r="E169" s="67">
        <v>7010470790</v>
      </c>
      <c r="F169" s="22" t="s">
        <v>63</v>
      </c>
      <c r="G169" s="22" t="s">
        <v>44</v>
      </c>
      <c r="H169" s="22"/>
      <c r="I169" s="23"/>
      <c r="J169" s="23"/>
      <c r="K169" s="23">
        <f>I169-J169</f>
        <v>0</v>
      </c>
      <c r="L169" s="24"/>
      <c r="M169" s="182"/>
      <c r="N169" s="183"/>
      <c r="O169" s="25"/>
      <c r="P169" s="26"/>
      <c r="Q169" s="331"/>
      <c r="R169" s="331"/>
    </row>
    <row r="170" spans="1:50" s="2" customFormat="1" ht="24" hidden="1" customHeight="1" x14ac:dyDescent="0.25">
      <c r="A170" s="201" t="s">
        <v>47</v>
      </c>
      <c r="B170" s="112" t="s">
        <v>9</v>
      </c>
      <c r="C170" s="112" t="s">
        <v>12</v>
      </c>
      <c r="D170" s="112" t="s">
        <v>85</v>
      </c>
      <c r="E170" s="138">
        <v>7010470790</v>
      </c>
      <c r="F170" s="112" t="s">
        <v>63</v>
      </c>
      <c r="G170" s="112" t="s">
        <v>48</v>
      </c>
      <c r="H170" s="112"/>
      <c r="I170" s="116"/>
      <c r="J170" s="116"/>
      <c r="K170" s="116">
        <f t="shared" si="85"/>
        <v>0</v>
      </c>
      <c r="L170" s="136" t="e">
        <f>#REF!</f>
        <v>#REF!</v>
      </c>
      <c r="M170" s="182"/>
      <c r="N170" s="183"/>
      <c r="O170" s="119">
        <f t="shared" si="82"/>
        <v>0</v>
      </c>
      <c r="P170" s="120" t="e">
        <f t="shared" ref="P170:P172" si="92">J170/I170*100</f>
        <v>#DIV/0!</v>
      </c>
      <c r="Q170" s="332"/>
      <c r="R170" s="332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2" customFormat="1" ht="24" hidden="1" customHeight="1" x14ac:dyDescent="0.25">
      <c r="A171" s="175" t="s">
        <v>109</v>
      </c>
      <c r="B171" s="112" t="s">
        <v>9</v>
      </c>
      <c r="C171" s="112" t="s">
        <v>12</v>
      </c>
      <c r="D171" s="112" t="s">
        <v>85</v>
      </c>
      <c r="E171" s="138">
        <v>7010470790</v>
      </c>
      <c r="F171" s="112" t="s">
        <v>63</v>
      </c>
      <c r="G171" s="112" t="s">
        <v>104</v>
      </c>
      <c r="H171" s="22"/>
      <c r="I171" s="23"/>
      <c r="J171" s="23"/>
      <c r="K171" s="116">
        <f t="shared" si="85"/>
        <v>0</v>
      </c>
      <c r="L171" s="137"/>
      <c r="M171" s="145"/>
      <c r="N171" s="144"/>
      <c r="O171" s="119">
        <f>I171-J171-K171</f>
        <v>0</v>
      </c>
      <c r="P171" s="120" t="e">
        <f t="shared" si="92"/>
        <v>#DIV/0!</v>
      </c>
      <c r="Q171" s="332"/>
      <c r="R171" s="332"/>
      <c r="S171" s="1"/>
      <c r="T171" s="1"/>
      <c r="U171" s="1"/>
      <c r="V171" s="1"/>
      <c r="W171" s="1"/>
      <c r="X171" s="1"/>
      <c r="Y171" s="1"/>
      <c r="Z171" s="68"/>
      <c r="AA171" s="68"/>
      <c r="AB171" s="68"/>
      <c r="AC171" s="68"/>
      <c r="AD171" s="6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2" customFormat="1" ht="60" hidden="1" customHeight="1" x14ac:dyDescent="0.25">
      <c r="A172" s="199" t="s">
        <v>145</v>
      </c>
      <c r="B172" s="104" t="s">
        <v>9</v>
      </c>
      <c r="C172" s="104" t="s">
        <v>12</v>
      </c>
      <c r="D172" s="104" t="s">
        <v>12</v>
      </c>
      <c r="E172" s="104" t="s">
        <v>149</v>
      </c>
      <c r="F172" s="104"/>
      <c r="G172" s="104"/>
      <c r="H172" s="104"/>
      <c r="I172" s="106">
        <f>I173+I174</f>
        <v>0</v>
      </c>
      <c r="J172" s="106">
        <f>J174+J173</f>
        <v>0</v>
      </c>
      <c r="K172" s="106">
        <f>K174+K173</f>
        <v>0</v>
      </c>
      <c r="L172" s="115"/>
      <c r="M172" s="195"/>
      <c r="N172" s="196"/>
      <c r="O172" s="20">
        <f>I172-J172-K172</f>
        <v>0</v>
      </c>
      <c r="P172" s="21" t="e">
        <f t="shared" si="92"/>
        <v>#DIV/0!</v>
      </c>
      <c r="Q172" s="321"/>
      <c r="R172" s="32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33" hidden="1" customHeight="1" x14ac:dyDescent="0.25">
      <c r="A173" s="194" t="s">
        <v>27</v>
      </c>
      <c r="B173" s="112" t="s">
        <v>9</v>
      </c>
      <c r="C173" s="112" t="s">
        <v>12</v>
      </c>
      <c r="D173" s="112" t="s">
        <v>12</v>
      </c>
      <c r="E173" s="112" t="s">
        <v>149</v>
      </c>
      <c r="F173" s="112" t="s">
        <v>63</v>
      </c>
      <c r="G173" s="112" t="s">
        <v>28</v>
      </c>
      <c r="H173" s="129"/>
      <c r="I173" s="116"/>
      <c r="J173" s="117"/>
      <c r="K173" s="130">
        <f>I173-J173</f>
        <v>0</v>
      </c>
      <c r="L173" s="131"/>
      <c r="M173" s="184"/>
      <c r="N173" s="185"/>
      <c r="O173" s="132"/>
      <c r="P173" s="133"/>
      <c r="Q173" s="325"/>
      <c r="R173" s="326"/>
    </row>
    <row r="174" spans="1:50" s="2" customFormat="1" ht="27.75" hidden="1" customHeight="1" x14ac:dyDescent="0.25">
      <c r="A174" s="175" t="s">
        <v>31</v>
      </c>
      <c r="B174" s="112" t="s">
        <v>9</v>
      </c>
      <c r="C174" s="112" t="s">
        <v>12</v>
      </c>
      <c r="D174" s="112" t="s">
        <v>12</v>
      </c>
      <c r="E174" s="112" t="s">
        <v>149</v>
      </c>
      <c r="F174" s="112" t="s">
        <v>63</v>
      </c>
      <c r="G174" s="112" t="s">
        <v>32</v>
      </c>
      <c r="H174" s="112"/>
      <c r="I174" s="116"/>
      <c r="J174" s="117"/>
      <c r="K174" s="116">
        <f>I174-J174</f>
        <v>0</v>
      </c>
      <c r="L174" s="131"/>
      <c r="M174" s="182"/>
      <c r="N174" s="183"/>
      <c r="O174" s="119">
        <f t="shared" ref="O174" si="93">I174-J174-K174</f>
        <v>0</v>
      </c>
      <c r="P174" s="120" t="e">
        <f t="shared" ref="P174:P176" si="94">J174/I174*100</f>
        <v>#DIV/0!</v>
      </c>
      <c r="Q174" s="323"/>
      <c r="R174" s="32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s="2" customFormat="1" ht="60" customHeight="1" x14ac:dyDescent="0.25">
      <c r="A175" s="199" t="s">
        <v>156</v>
      </c>
      <c r="B175" s="104" t="s">
        <v>9</v>
      </c>
      <c r="C175" s="104" t="s">
        <v>12</v>
      </c>
      <c r="D175" s="104" t="s">
        <v>14</v>
      </c>
      <c r="E175" s="104" t="s">
        <v>157</v>
      </c>
      <c r="F175" s="104"/>
      <c r="G175" s="104"/>
      <c r="H175" s="104"/>
      <c r="I175" s="106">
        <f>I176+I177</f>
        <v>6358968</v>
      </c>
      <c r="J175" s="106">
        <f>J177+J176</f>
        <v>0</v>
      </c>
      <c r="K175" s="106">
        <f>K177+K176</f>
        <v>6358968</v>
      </c>
      <c r="L175" s="115"/>
      <c r="M175" s="195"/>
      <c r="N175" s="196"/>
      <c r="O175" s="20">
        <f>I175-J175-K175</f>
        <v>0</v>
      </c>
      <c r="P175" s="21">
        <f t="shared" si="94"/>
        <v>0</v>
      </c>
      <c r="Q175" s="321"/>
      <c r="R175" s="32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33" customHeight="1" x14ac:dyDescent="0.25">
      <c r="A176" s="194" t="s">
        <v>27</v>
      </c>
      <c r="B176" s="112" t="s">
        <v>9</v>
      </c>
      <c r="C176" s="112" t="s">
        <v>12</v>
      </c>
      <c r="D176" s="112" t="s">
        <v>14</v>
      </c>
      <c r="E176" s="112" t="s">
        <v>157</v>
      </c>
      <c r="F176" s="112" t="s">
        <v>63</v>
      </c>
      <c r="G176" s="112" t="s">
        <v>28</v>
      </c>
      <c r="H176" s="129"/>
      <c r="I176" s="116">
        <v>4884000</v>
      </c>
      <c r="J176" s="117">
        <v>0</v>
      </c>
      <c r="K176" s="116">
        <f>I176-J176</f>
        <v>4884000</v>
      </c>
      <c r="L176" s="131"/>
      <c r="M176" s="184"/>
      <c r="N176" s="185"/>
      <c r="O176" s="119">
        <f t="shared" ref="O176" si="95">I176-J176-K176</f>
        <v>0</v>
      </c>
      <c r="P176" s="120">
        <f t="shared" si="94"/>
        <v>0</v>
      </c>
      <c r="Q176" s="325"/>
      <c r="R176" s="326"/>
    </row>
    <row r="177" spans="1:50" s="2" customFormat="1" ht="27.75" customHeight="1" x14ac:dyDescent="0.25">
      <c r="A177" s="175" t="s">
        <v>31</v>
      </c>
      <c r="B177" s="112" t="s">
        <v>9</v>
      </c>
      <c r="C177" s="112" t="s">
        <v>12</v>
      </c>
      <c r="D177" s="112" t="s">
        <v>14</v>
      </c>
      <c r="E177" s="112" t="s">
        <v>157</v>
      </c>
      <c r="F177" s="112" t="s">
        <v>63</v>
      </c>
      <c r="G177" s="112" t="s">
        <v>32</v>
      </c>
      <c r="H177" s="112"/>
      <c r="I177" s="116">
        <v>1474968</v>
      </c>
      <c r="J177" s="117">
        <v>0</v>
      </c>
      <c r="K177" s="116">
        <f>I177-J177</f>
        <v>1474968</v>
      </c>
      <c r="L177" s="131"/>
      <c r="M177" s="182"/>
      <c r="N177" s="183"/>
      <c r="O177" s="119">
        <f t="shared" ref="O177" si="96">I177-J177-K177</f>
        <v>0</v>
      </c>
      <c r="P177" s="120">
        <f t="shared" ref="P177:P178" si="97">J177/I177*100</f>
        <v>0</v>
      </c>
      <c r="Q177" s="323"/>
      <c r="R177" s="32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customHeight="1" x14ac:dyDescent="0.25">
      <c r="A178" s="199" t="s">
        <v>156</v>
      </c>
      <c r="B178" s="104" t="s">
        <v>9</v>
      </c>
      <c r="C178" s="104" t="s">
        <v>12</v>
      </c>
      <c r="D178" s="104" t="s">
        <v>14</v>
      </c>
      <c r="E178" s="104" t="s">
        <v>158</v>
      </c>
      <c r="F178" s="104"/>
      <c r="G178" s="104"/>
      <c r="H178" s="104"/>
      <c r="I178" s="106">
        <f>I179+I180</f>
        <v>289044</v>
      </c>
      <c r="J178" s="106">
        <f>J180+J179</f>
        <v>0</v>
      </c>
      <c r="K178" s="106">
        <f>K180+K179</f>
        <v>289044</v>
      </c>
      <c r="L178" s="115"/>
      <c r="M178" s="195"/>
      <c r="N178" s="196"/>
      <c r="O178" s="20">
        <f>I178-J178-K178</f>
        <v>0</v>
      </c>
      <c r="P178" s="21">
        <f t="shared" si="97"/>
        <v>0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customHeight="1" x14ac:dyDescent="0.25">
      <c r="A179" s="194" t="s">
        <v>27</v>
      </c>
      <c r="B179" s="112" t="s">
        <v>9</v>
      </c>
      <c r="C179" s="112" t="s">
        <v>12</v>
      </c>
      <c r="D179" s="112" t="s">
        <v>14</v>
      </c>
      <c r="E179" s="112" t="s">
        <v>158</v>
      </c>
      <c r="F179" s="112" t="s">
        <v>63</v>
      </c>
      <c r="G179" s="112" t="s">
        <v>28</v>
      </c>
      <c r="H179" s="129"/>
      <c r="I179" s="116">
        <v>222000</v>
      </c>
      <c r="J179" s="117">
        <v>0</v>
      </c>
      <c r="K179" s="130">
        <f>I179-J179</f>
        <v>222000</v>
      </c>
      <c r="L179" s="131"/>
      <c r="M179" s="184"/>
      <c r="N179" s="185"/>
      <c r="O179" s="119">
        <f t="shared" ref="O179" si="98">I179-J179-K179</f>
        <v>0</v>
      </c>
      <c r="P179" s="120">
        <f t="shared" ref="P179" si="99">J179/I179*100</f>
        <v>0</v>
      </c>
      <c r="Q179" s="325"/>
      <c r="R179" s="326"/>
    </row>
    <row r="180" spans="1:50" s="2" customFormat="1" ht="27.75" customHeight="1" x14ac:dyDescent="0.25">
      <c r="A180" s="175" t="s">
        <v>31</v>
      </c>
      <c r="B180" s="112" t="s">
        <v>9</v>
      </c>
      <c r="C180" s="112" t="s">
        <v>12</v>
      </c>
      <c r="D180" s="112" t="s">
        <v>14</v>
      </c>
      <c r="E180" s="112" t="s">
        <v>158</v>
      </c>
      <c r="F180" s="112" t="s">
        <v>63</v>
      </c>
      <c r="G180" s="112" t="s">
        <v>32</v>
      </c>
      <c r="H180" s="112"/>
      <c r="I180" s="116">
        <v>67044</v>
      </c>
      <c r="J180" s="117">
        <v>0</v>
      </c>
      <c r="K180" s="116">
        <f>I180-J180</f>
        <v>67044</v>
      </c>
      <c r="L180" s="131"/>
      <c r="M180" s="182"/>
      <c r="N180" s="183"/>
      <c r="O180" s="119">
        <f t="shared" ref="O180" si="100">I180-J180-K180</f>
        <v>0</v>
      </c>
      <c r="P180" s="120">
        <f t="shared" ref="P180" si="101">J180/I180*100</f>
        <v>0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9.5" customHeight="1" x14ac:dyDescent="0.25">
      <c r="A181" s="327" t="s">
        <v>80</v>
      </c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9"/>
      <c r="Q181" s="330"/>
      <c r="R181" s="330"/>
    </row>
    <row r="182" spans="1:50" s="15" customFormat="1" ht="64.5" customHeight="1" x14ac:dyDescent="0.25">
      <c r="A182" s="202" t="s">
        <v>120</v>
      </c>
      <c r="B182" s="16" t="s">
        <v>81</v>
      </c>
      <c r="C182" s="16" t="s">
        <v>82</v>
      </c>
      <c r="D182" s="16" t="s">
        <v>82</v>
      </c>
      <c r="E182" s="16" t="s">
        <v>83</v>
      </c>
      <c r="F182" s="16" t="s">
        <v>81</v>
      </c>
      <c r="G182" s="16"/>
      <c r="H182" s="16"/>
      <c r="I182" s="17">
        <f>I183</f>
        <v>4268106.4000000004</v>
      </c>
      <c r="J182" s="17">
        <f>J183</f>
        <v>0</v>
      </c>
      <c r="K182" s="17">
        <f>I182-J182</f>
        <v>4268106.4000000004</v>
      </c>
      <c r="L182" s="17">
        <f t="shared" ref="L182:N182" si="102">L183</f>
        <v>0</v>
      </c>
      <c r="M182" s="17">
        <f t="shared" si="102"/>
        <v>0</v>
      </c>
      <c r="N182" s="17">
        <f t="shared" si="102"/>
        <v>0</v>
      </c>
      <c r="O182" s="20">
        <f t="shared" ref="O182:O183" si="103">I182-J182-K182</f>
        <v>0</v>
      </c>
      <c r="P182" s="21">
        <f>J182/I182*100</f>
        <v>0</v>
      </c>
      <c r="Q182" s="331"/>
      <c r="R182" s="331"/>
      <c r="S182" s="1"/>
      <c r="T182" s="1"/>
      <c r="U182" s="1"/>
      <c r="V182" s="1"/>
      <c r="W182" s="1"/>
      <c r="X182" s="1"/>
      <c r="Y182" s="1"/>
    </row>
    <row r="183" spans="1:50" s="15" customFormat="1" ht="18.75" customHeight="1" x14ac:dyDescent="0.25">
      <c r="A183" s="32" t="s">
        <v>113</v>
      </c>
      <c r="B183" s="22" t="s">
        <v>81</v>
      </c>
      <c r="C183" s="22" t="s">
        <v>82</v>
      </c>
      <c r="D183" s="22" t="s">
        <v>82</v>
      </c>
      <c r="E183" s="22" t="s">
        <v>83</v>
      </c>
      <c r="F183" s="22" t="s">
        <v>81</v>
      </c>
      <c r="G183" s="22" t="s">
        <v>114</v>
      </c>
      <c r="H183" s="22"/>
      <c r="I183" s="35">
        <v>4268106.4000000004</v>
      </c>
      <c r="J183" s="35">
        <v>0</v>
      </c>
      <c r="K183" s="23">
        <f>I183-J183</f>
        <v>4268106.4000000004</v>
      </c>
      <c r="L183" s="38"/>
      <c r="M183" s="29"/>
      <c r="N183" s="1"/>
      <c r="O183" s="25">
        <f t="shared" si="103"/>
        <v>0</v>
      </c>
      <c r="P183" s="26">
        <f>J183/I183*100</f>
        <v>0</v>
      </c>
      <c r="Q183" s="331"/>
      <c r="R183" s="331"/>
      <c r="S183" s="1"/>
      <c r="T183" s="1"/>
      <c r="U183" s="1"/>
      <c r="V183" s="1"/>
      <c r="W183" s="1"/>
      <c r="X183" s="1"/>
      <c r="Y183" s="1"/>
    </row>
    <row r="184" spans="1:50" ht="0.75" customHeight="1" x14ac:dyDescent="0.25">
      <c r="A184" s="70"/>
      <c r="B184" s="70"/>
      <c r="C184" s="70"/>
      <c r="D184" s="70"/>
      <c r="E184" s="70"/>
      <c r="F184" s="70"/>
      <c r="G184" s="70"/>
      <c r="H184" s="71"/>
      <c r="I184" s="126"/>
      <c r="J184" s="127"/>
      <c r="K184" s="72"/>
      <c r="L184" s="1"/>
      <c r="M184" s="1"/>
    </row>
    <row r="185" spans="1:50" ht="27.75" customHeight="1" x14ac:dyDescent="0.25">
      <c r="A185" s="77"/>
      <c r="B185" s="78"/>
      <c r="C185" s="78"/>
      <c r="D185" s="78"/>
      <c r="E185" s="78"/>
      <c r="F185" s="78"/>
      <c r="G185" s="1"/>
      <c r="H185" s="1"/>
      <c r="I185" s="1"/>
      <c r="J185" s="1"/>
      <c r="K185" s="1"/>
      <c r="L185" s="73"/>
      <c r="M185" s="74"/>
      <c r="N185" s="75"/>
      <c r="O185" s="75"/>
      <c r="P185" s="75"/>
    </row>
    <row r="186" spans="1:50" ht="40.5" customHeight="1" x14ac:dyDescent="0.25">
      <c r="A186" s="319" t="s">
        <v>168</v>
      </c>
      <c r="B186" s="319"/>
      <c r="C186" s="319"/>
      <c r="D186" s="79"/>
      <c r="E186" s="79"/>
      <c r="F186" s="79"/>
      <c r="G186" s="80" t="s">
        <v>169</v>
      </c>
      <c r="H186" s="1"/>
      <c r="I186" s="1"/>
      <c r="J186" s="1"/>
      <c r="K186" s="1"/>
      <c r="L186" s="73"/>
      <c r="M186" s="74"/>
      <c r="N186" s="75"/>
      <c r="O186" s="75"/>
      <c r="P186" s="75"/>
    </row>
    <row r="187" spans="1:50" x14ac:dyDescent="0.25">
      <c r="A187" s="81"/>
      <c r="B187" s="82"/>
      <c r="C187" s="82"/>
      <c r="D187" s="320" t="s">
        <v>92</v>
      </c>
      <c r="E187" s="320"/>
      <c r="F187" s="320"/>
      <c r="G187" s="1"/>
      <c r="H187" s="1"/>
      <c r="I187" s="1"/>
      <c r="J187" s="1"/>
      <c r="K187" s="1"/>
      <c r="L187" s="73"/>
      <c r="M187" s="74"/>
      <c r="N187" s="75"/>
      <c r="O187" s="75"/>
      <c r="P187" s="75"/>
    </row>
    <row r="188" spans="1:50" ht="18.75" x14ac:dyDescent="0.25">
      <c r="A188" s="83"/>
      <c r="B188" s="84"/>
      <c r="C188" s="84"/>
      <c r="D188" s="84"/>
      <c r="E188" s="84"/>
      <c r="F188" s="84"/>
      <c r="G188" s="1"/>
      <c r="H188" s="1"/>
      <c r="I188" s="1"/>
      <c r="J188" s="1"/>
      <c r="K188" s="1"/>
      <c r="L188" s="73"/>
      <c r="M188" s="74"/>
      <c r="N188" s="75"/>
      <c r="O188" s="75"/>
      <c r="P188" s="75"/>
    </row>
    <row r="189" spans="1:50" x14ac:dyDescent="0.25">
      <c r="A189" s="1"/>
      <c r="B189" s="1"/>
      <c r="C189" s="1"/>
      <c r="D189" s="1"/>
      <c r="E189" s="1"/>
      <c r="F189" s="1"/>
      <c r="L189" s="73"/>
      <c r="M189" s="74"/>
      <c r="N189" s="75"/>
      <c r="O189" s="75"/>
      <c r="P189" s="75"/>
    </row>
    <row r="190" spans="1:50" x14ac:dyDescent="0.25">
      <c r="A190" s="1"/>
      <c r="B190" s="1"/>
      <c r="C190" s="1"/>
      <c r="D190" s="1"/>
      <c r="E190" s="1"/>
      <c r="F190" s="1"/>
      <c r="L190" s="73"/>
      <c r="M190" s="74"/>
      <c r="N190" s="75"/>
      <c r="O190" s="75"/>
      <c r="P190" s="75"/>
    </row>
    <row r="191" spans="1:50" x14ac:dyDescent="0.25">
      <c r="A191" s="1"/>
      <c r="B191" s="1"/>
      <c r="C191" s="1"/>
      <c r="D191" s="1"/>
      <c r="E191" s="1"/>
      <c r="F191" s="1"/>
      <c r="L191" s="73"/>
      <c r="M191" s="74"/>
      <c r="N191" s="75"/>
      <c r="O191" s="75"/>
      <c r="P191" s="75"/>
    </row>
    <row r="192" spans="1:50" x14ac:dyDescent="0.25">
      <c r="A192" s="1"/>
      <c r="B192" s="1"/>
      <c r="C192" s="1"/>
      <c r="D192" s="1"/>
      <c r="E192" s="1"/>
      <c r="F192" s="1"/>
    </row>
    <row r="193" spans="1:50" x14ac:dyDescent="0.25">
      <c r="A193" s="1"/>
      <c r="B193" s="1"/>
      <c r="C193" s="1"/>
      <c r="D193" s="1"/>
      <c r="E193" s="1"/>
      <c r="F193" s="1"/>
      <c r="L193" s="1"/>
      <c r="M193" s="1"/>
    </row>
    <row r="194" spans="1:50" x14ac:dyDescent="0.25">
      <c r="A194" s="1"/>
      <c r="B194" s="1"/>
      <c r="C194" s="1"/>
      <c r="D194" s="1"/>
      <c r="E194" s="1"/>
      <c r="F194" s="1"/>
      <c r="L194" s="1"/>
      <c r="M194" s="1"/>
    </row>
    <row r="195" spans="1:50" x14ac:dyDescent="0.25">
      <c r="A195" s="1"/>
      <c r="B195" s="1"/>
      <c r="C195" s="1"/>
      <c r="D195" s="1"/>
      <c r="E195" s="1"/>
      <c r="F195" s="1"/>
      <c r="L195" s="1"/>
      <c r="M195" s="1"/>
    </row>
    <row r="196" spans="1:50" x14ac:dyDescent="0.25">
      <c r="A196" s="1"/>
      <c r="B196" s="1"/>
      <c r="C196" s="1"/>
      <c r="D196" s="1"/>
      <c r="E196" s="1"/>
      <c r="F196" s="1"/>
      <c r="L196" s="1"/>
      <c r="M196" s="1"/>
    </row>
    <row r="197" spans="1:50" x14ac:dyDescent="0.25">
      <c r="A197" s="1"/>
      <c r="B197" s="1"/>
      <c r="C197" s="1"/>
      <c r="D197" s="1"/>
      <c r="E197" s="1"/>
      <c r="F197" s="1"/>
    </row>
    <row r="198" spans="1:50" x14ac:dyDescent="0.25">
      <c r="A198" s="1"/>
      <c r="B198" s="1"/>
      <c r="C198" s="1"/>
      <c r="D198" s="1"/>
      <c r="E198" s="1"/>
      <c r="F198" s="1"/>
    </row>
    <row r="199" spans="1:50" x14ac:dyDescent="0.25">
      <c r="A199" s="1"/>
      <c r="B199" s="1"/>
      <c r="C199" s="1"/>
      <c r="D199" s="1"/>
      <c r="E199" s="1"/>
      <c r="F199" s="1"/>
    </row>
    <row r="200" spans="1:50" x14ac:dyDescent="0.25">
      <c r="A200" s="1"/>
      <c r="B200" s="1"/>
      <c r="C200" s="1"/>
      <c r="D200" s="1"/>
      <c r="E200" s="1"/>
      <c r="F200" s="1"/>
    </row>
    <row r="201" spans="1:50" x14ac:dyDescent="0.25">
      <c r="A201" s="1"/>
      <c r="B201" s="1"/>
      <c r="C201" s="1"/>
      <c r="D201" s="1"/>
      <c r="E201" s="1"/>
      <c r="F201" s="1"/>
    </row>
    <row r="202" spans="1:50" x14ac:dyDescent="0.25">
      <c r="A202" s="1"/>
      <c r="B202" s="1"/>
      <c r="C202" s="1"/>
      <c r="D202" s="1"/>
      <c r="E202" s="1"/>
      <c r="F202" s="1"/>
    </row>
    <row r="203" spans="1:50" x14ac:dyDescent="0.25">
      <c r="A203" s="1"/>
      <c r="B203" s="1"/>
      <c r="C203" s="1"/>
      <c r="D203" s="1"/>
      <c r="E203" s="1"/>
      <c r="F203" s="1"/>
    </row>
    <row r="204" spans="1:50" x14ac:dyDescent="0.25">
      <c r="A204" s="1"/>
      <c r="B204" s="1"/>
      <c r="C204" s="1"/>
      <c r="D204" s="1"/>
      <c r="E204" s="1"/>
      <c r="F204" s="1"/>
    </row>
    <row r="205" spans="1:50" x14ac:dyDescent="0.25">
      <c r="A205" s="1"/>
      <c r="B205" s="1"/>
      <c r="C205" s="1"/>
      <c r="D205" s="1"/>
      <c r="E205" s="1"/>
      <c r="F205" s="1"/>
    </row>
    <row r="206" spans="1:50" x14ac:dyDescent="0.25">
      <c r="A206" s="1"/>
      <c r="B206" s="1"/>
      <c r="C206" s="1"/>
      <c r="D206" s="1"/>
      <c r="E206" s="1"/>
      <c r="F206" s="1"/>
    </row>
    <row r="207" spans="1:50" x14ac:dyDescent="0.25">
      <c r="A207" s="1"/>
      <c r="B207" s="1"/>
      <c r="C207" s="1"/>
      <c r="D207" s="1"/>
      <c r="E207" s="1"/>
      <c r="F207" s="1"/>
    </row>
    <row r="208" spans="1:50" s="68" customFormat="1" x14ac:dyDescent="0.25">
      <c r="A208" s="1"/>
      <c r="B208" s="1"/>
      <c r="C208" s="1"/>
      <c r="D208" s="1"/>
      <c r="E208" s="1"/>
      <c r="F208" s="1"/>
      <c r="I208" s="128"/>
      <c r="J208" s="128"/>
      <c r="K208" s="76"/>
      <c r="L208" s="76"/>
      <c r="M208" s="2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68" customFormat="1" x14ac:dyDescent="0.25">
      <c r="A209" s="85"/>
      <c r="I209" s="128"/>
      <c r="J209" s="128"/>
      <c r="K209" s="76"/>
      <c r="L209" s="76"/>
      <c r="M209" s="2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68" customFormat="1" x14ac:dyDescent="0.25">
      <c r="A210" s="85"/>
      <c r="I210" s="128"/>
      <c r="J210" s="128"/>
      <c r="K210" s="76"/>
      <c r="L210" s="76"/>
      <c r="M210" s="2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68" customFormat="1" x14ac:dyDescent="0.25">
      <c r="A211" s="85"/>
      <c r="I211" s="128"/>
      <c r="J211" s="128"/>
      <c r="K211" s="76"/>
      <c r="L211" s="76"/>
      <c r="M211" s="2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68" customFormat="1" x14ac:dyDescent="0.25">
      <c r="A212" s="85"/>
      <c r="I212" s="128"/>
      <c r="J212" s="128"/>
      <c r="K212" s="76"/>
      <c r="L212" s="76"/>
      <c r="M212" s="2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68" customFormat="1" x14ac:dyDescent="0.25">
      <c r="A213" s="85"/>
      <c r="I213" s="128"/>
      <c r="J213" s="128"/>
      <c r="K213" s="76"/>
      <c r="L213" s="76"/>
      <c r="M213" s="2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68" customFormat="1" x14ac:dyDescent="0.25">
      <c r="A214" s="85"/>
      <c r="I214" s="128"/>
      <c r="J214" s="128"/>
      <c r="K214" s="76"/>
      <c r="L214" s="76"/>
      <c r="M214" s="2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68" customFormat="1" x14ac:dyDescent="0.25">
      <c r="A215" s="85"/>
      <c r="I215" s="128"/>
      <c r="J215" s="128"/>
      <c r="K215" s="76"/>
      <c r="L215" s="76"/>
      <c r="M215" s="2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68" customFormat="1" x14ac:dyDescent="0.25">
      <c r="A216" s="85"/>
      <c r="I216" s="128"/>
      <c r="J216" s="128"/>
      <c r="K216" s="76"/>
      <c r="L216" s="76"/>
      <c r="M216" s="2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</sheetData>
  <mergeCells count="173"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Q25:R25"/>
    <mergeCell ref="Q26:R26"/>
    <mergeCell ref="Q27:R27"/>
    <mergeCell ref="Q28:R28"/>
    <mergeCell ref="Q29:R29"/>
    <mergeCell ref="Q20:R20"/>
    <mergeCell ref="Q21:R21"/>
    <mergeCell ref="Q22:R22"/>
    <mergeCell ref="Q23:R23"/>
    <mergeCell ref="Q24:R24"/>
    <mergeCell ref="Q37:R37"/>
    <mergeCell ref="Q38:R38"/>
    <mergeCell ref="Q39:R39"/>
    <mergeCell ref="Q40:R40"/>
    <mergeCell ref="Q41:R41"/>
    <mergeCell ref="Q42:R42"/>
    <mergeCell ref="Q30:R30"/>
    <mergeCell ref="Q31:R31"/>
    <mergeCell ref="Q32:R32"/>
    <mergeCell ref="Q33:R33"/>
    <mergeCell ref="Q34:R34"/>
    <mergeCell ref="Q35:R35"/>
    <mergeCell ref="Q49:R49"/>
    <mergeCell ref="Q50:R50"/>
    <mergeCell ref="Q51:R51"/>
    <mergeCell ref="Q52:R52"/>
    <mergeCell ref="Q53:R53"/>
    <mergeCell ref="Q54:R54"/>
    <mergeCell ref="Q43:R43"/>
    <mergeCell ref="Q44:R44"/>
    <mergeCell ref="Q45:R45"/>
    <mergeCell ref="Q46:R46"/>
    <mergeCell ref="Q47:R47"/>
    <mergeCell ref="Q48:R48"/>
    <mergeCell ref="Q61:R68"/>
    <mergeCell ref="A69:P69"/>
    <mergeCell ref="Q69:R69"/>
    <mergeCell ref="Q70:R70"/>
    <mergeCell ref="Q71:R71"/>
    <mergeCell ref="Q72:R72"/>
    <mergeCell ref="Q55:R55"/>
    <mergeCell ref="Q56:R56"/>
    <mergeCell ref="Q57:R57"/>
    <mergeCell ref="Q58:R58"/>
    <mergeCell ref="Q59:R59"/>
    <mergeCell ref="Q60:R60"/>
    <mergeCell ref="Q79:R79"/>
    <mergeCell ref="Q80:R80"/>
    <mergeCell ref="Q81:R81"/>
    <mergeCell ref="Q82:R82"/>
    <mergeCell ref="Q83:R83"/>
    <mergeCell ref="Q84:R84"/>
    <mergeCell ref="Q73:R73"/>
    <mergeCell ref="Q74:R74"/>
    <mergeCell ref="Q75:R75"/>
    <mergeCell ref="Q76:R76"/>
    <mergeCell ref="Q77:R77"/>
    <mergeCell ref="Q78:R78"/>
    <mergeCell ref="Q89:R89"/>
    <mergeCell ref="Q90:R90"/>
    <mergeCell ref="Q91:R91"/>
    <mergeCell ref="Q92:R92"/>
    <mergeCell ref="Q93:R93"/>
    <mergeCell ref="Q94:R94"/>
    <mergeCell ref="Q85:R85"/>
    <mergeCell ref="Q86:R86"/>
    <mergeCell ref="Q87:R87"/>
    <mergeCell ref="Q88:R88"/>
    <mergeCell ref="A104:P104"/>
    <mergeCell ref="Q104:R104"/>
    <mergeCell ref="Q105:R105"/>
    <mergeCell ref="Q95:R95"/>
    <mergeCell ref="Q96:R96"/>
    <mergeCell ref="Q97:R97"/>
    <mergeCell ref="Q98:R98"/>
    <mergeCell ref="Q99:R99"/>
    <mergeCell ref="Q100:R100"/>
    <mergeCell ref="Q106:R106"/>
    <mergeCell ref="Q107:R107"/>
    <mergeCell ref="Q108:R108"/>
    <mergeCell ref="Q109:R109"/>
    <mergeCell ref="Q110:R110"/>
    <mergeCell ref="Q111:R111"/>
    <mergeCell ref="Q101:R101"/>
    <mergeCell ref="Q102:R102"/>
    <mergeCell ref="Q103:R103"/>
    <mergeCell ref="Q118:R118"/>
    <mergeCell ref="Q119:R119"/>
    <mergeCell ref="Q120:R120"/>
    <mergeCell ref="Q121:R121"/>
    <mergeCell ref="Q122:R122"/>
    <mergeCell ref="Q123:R123"/>
    <mergeCell ref="Q112:R112"/>
    <mergeCell ref="Q113:R113"/>
    <mergeCell ref="Q114:R114"/>
    <mergeCell ref="Q115:R115"/>
    <mergeCell ref="Q116:R116"/>
    <mergeCell ref="Q117:R117"/>
    <mergeCell ref="Q137:R138"/>
    <mergeCell ref="Q139:R139"/>
    <mergeCell ref="Q140:R140"/>
    <mergeCell ref="Q141:R143"/>
    <mergeCell ref="Q144:R145"/>
    <mergeCell ref="A148:P148"/>
    <mergeCell ref="Q148:R148"/>
    <mergeCell ref="Q125:R125"/>
    <mergeCell ref="Q126:R126"/>
    <mergeCell ref="Q127:R129"/>
    <mergeCell ref="Q130:R131"/>
    <mergeCell ref="Q132:R133"/>
    <mergeCell ref="Q134:R135"/>
    <mergeCell ref="Q158:R158"/>
    <mergeCell ref="Q159:R159"/>
    <mergeCell ref="Q160:R160"/>
    <mergeCell ref="Q149:R149"/>
    <mergeCell ref="Q150:R150"/>
    <mergeCell ref="Q151:R151"/>
    <mergeCell ref="Q152:R152"/>
    <mergeCell ref="Q153:R153"/>
    <mergeCell ref="Q154:R154"/>
    <mergeCell ref="A186:C186"/>
    <mergeCell ref="D187:F187"/>
    <mergeCell ref="Q146:R147"/>
    <mergeCell ref="Q175:R177"/>
    <mergeCell ref="Q178:R180"/>
    <mergeCell ref="A181:P181"/>
    <mergeCell ref="Q181:R181"/>
    <mergeCell ref="Q182:R182"/>
    <mergeCell ref="Q183:R183"/>
    <mergeCell ref="Q167:R167"/>
    <mergeCell ref="Q168:R168"/>
    <mergeCell ref="Q169:R169"/>
    <mergeCell ref="Q170:R170"/>
    <mergeCell ref="Q171:R171"/>
    <mergeCell ref="Q172:R174"/>
    <mergeCell ref="Q161:R161"/>
    <mergeCell ref="Q162:R162"/>
    <mergeCell ref="Q163:R163"/>
    <mergeCell ref="Q164:R164"/>
    <mergeCell ref="Q165:R165"/>
    <mergeCell ref="Q166:R166"/>
    <mergeCell ref="Q155:R155"/>
    <mergeCell ref="Q156:R156"/>
    <mergeCell ref="Q157:R157"/>
  </mergeCells>
  <printOptions horizontalCentered="1"/>
  <pageMargins left="3.937007874015748E-2" right="3.937007874015748E-2" top="0.15748031496062992" bottom="0" header="0.11811023622047245" footer="0"/>
  <pageSetup paperSize="9" scale="55" fitToHeight="7" orientation="landscape" r:id="rId1"/>
  <rowBreaks count="6" manualBreakCount="6">
    <brk id="31" max="17" man="1"/>
    <brk id="55" max="17" man="1"/>
    <brk id="82" max="17" man="1"/>
    <brk id="103" max="17" man="1"/>
    <brk id="119" max="17" man="1"/>
    <brk id="14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X226"/>
  <sheetViews>
    <sheetView showWhiteSpace="0" view="pageBreakPreview" zoomScale="90" zoomScaleNormal="75" zoomScaleSheetLayoutView="90" workbookViewId="0">
      <pane ySplit="5" topLeftCell="A50" activePane="bottomLeft" state="frozen"/>
      <selection pane="bottomLeft" activeCell="K61" sqref="K61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10.140625" style="1" bestFit="1" customWidth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203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204</v>
      </c>
      <c r="K3" s="353" t="s">
        <v>6</v>
      </c>
      <c r="L3" s="169"/>
      <c r="M3" s="170"/>
      <c r="N3" s="169"/>
      <c r="O3" s="353" t="s">
        <v>7</v>
      </c>
      <c r="P3" s="355" t="s">
        <v>205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>I8+I75+I111+I155+I188+I192</f>
        <v>125740120.74000001</v>
      </c>
      <c r="J6" s="160">
        <f>J8+J75+J111+J155+J188+J192</f>
        <v>95315145.659999996</v>
      </c>
      <c r="K6" s="160">
        <f>K8+K75+K111+K155+K188+K192</f>
        <v>29219152.730000004</v>
      </c>
      <c r="L6" s="160" t="e">
        <f t="shared" ref="L6:N6" si="0">L8+L75+L111+L155+L188+L192</f>
        <v>#REF!</v>
      </c>
      <c r="M6" s="160" t="e">
        <f t="shared" si="0"/>
        <v>#REF!</v>
      </c>
      <c r="N6" s="160" t="e">
        <f t="shared" si="0"/>
        <v>#REF!</v>
      </c>
      <c r="O6" s="160">
        <f>O8+O75+O111+O155+O188+O192</f>
        <v>1205850.7700000009</v>
      </c>
      <c r="P6" s="163">
        <f>J6/I6*100</f>
        <v>75.803287844051411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</f>
        <v>24561919.789999999</v>
      </c>
      <c r="J8" s="9">
        <f>J9</f>
        <v>19285052.600000001</v>
      </c>
      <c r="K8" s="9">
        <f>K9+K61+K69</f>
        <v>5316370.8099999996</v>
      </c>
      <c r="L8" s="9" t="e">
        <f t="shared" ref="L8:O8" si="1">L9+L61+L69</f>
        <v>#REF!</v>
      </c>
      <c r="M8" s="9" t="e">
        <f t="shared" si="1"/>
        <v>#REF!</v>
      </c>
      <c r="N8" s="9" t="e">
        <f t="shared" si="1"/>
        <v>#REF!</v>
      </c>
      <c r="O8" s="9">
        <f t="shared" si="1"/>
        <v>-39475.200000003504</v>
      </c>
      <c r="P8" s="12">
        <f>J8/I8*100</f>
        <v>78.516063747800402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I10+I41+I46+I48+I50+I53+I59+I56+I61+I69+I72</f>
        <v>24561919.789999999</v>
      </c>
      <c r="J9" s="157">
        <f>J10+J41+J46+J48+J50+J53+J59+J56+J61+J69+J72</f>
        <v>19285052.600000001</v>
      </c>
      <c r="K9" s="157">
        <f>K10+K41+K46+K48+K50+K53+K59+K56+K61+K69+K72</f>
        <v>5313128.8099999996</v>
      </c>
      <c r="L9" s="157" t="e">
        <f t="shared" ref="L9:O9" si="2">L10+L41+L46+L48+L50+L53+L59+L56+L61+L69+L72</f>
        <v>#REF!</v>
      </c>
      <c r="M9" s="157" t="e">
        <f t="shared" si="2"/>
        <v>#REF!</v>
      </c>
      <c r="N9" s="157" t="e">
        <f t="shared" si="2"/>
        <v>#REF!</v>
      </c>
      <c r="O9" s="157">
        <f t="shared" si="2"/>
        <v>-36261.620000003502</v>
      </c>
      <c r="P9" s="157">
        <f>J9/I9*100</f>
        <v>78.516063747800402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>I11</f>
        <v>10860639.619999997</v>
      </c>
      <c r="J10" s="17">
        <f>J11</f>
        <v>8886871.870000001</v>
      </c>
      <c r="K10" s="17">
        <f>K11</f>
        <v>1973767.7499999998</v>
      </c>
      <c r="L10" s="17" t="e">
        <f t="shared" ref="K10:N11" si="3">L11</f>
        <v>#REF!</v>
      </c>
      <c r="M10" s="17">
        <f t="shared" si="3"/>
        <v>0</v>
      </c>
      <c r="N10" s="17">
        <f t="shared" si="3"/>
        <v>0</v>
      </c>
      <c r="O10" s="20">
        <f>I10-J10-K10</f>
        <v>-3.4924596548080444E-9</v>
      </c>
      <c r="P10" s="21">
        <f>P9</f>
        <v>78.516063747800402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10860639.619999997</v>
      </c>
      <c r="J11" s="28">
        <f>J12</f>
        <v>8886871.870000001</v>
      </c>
      <c r="K11" s="33">
        <f t="shared" si="3"/>
        <v>1973767.7499999998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ref="O11:O12" si="4">I11-J11-K11</f>
        <v>-3.4924596548080444E-9</v>
      </c>
      <c r="P11" s="26">
        <f t="shared" ref="P11:P60" si="5">J11/I11*100</f>
        <v>81.826413369197155</v>
      </c>
      <c r="Q11" s="352"/>
      <c r="R11" s="352"/>
      <c r="T11" s="278">
        <f>'[1]09.21'!$C$318</f>
        <v>125716120.73999999</v>
      </c>
      <c r="U11" s="227"/>
      <c r="V11" s="277">
        <f>'[1]09.21'!$M$318</f>
        <v>81864368.790000007</v>
      </c>
    </row>
    <row r="12" spans="1:50" ht="23.25" customHeight="1" x14ac:dyDescent="0.3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>I13</f>
        <v>10860639.619999997</v>
      </c>
      <c r="J12" s="35">
        <f>J13</f>
        <v>8886871.870000001</v>
      </c>
      <c r="K12" s="35">
        <f>K13</f>
        <v>1973767.7499999998</v>
      </c>
      <c r="L12" s="87" t="e">
        <f>L13</f>
        <v>#REF!</v>
      </c>
      <c r="M12" s="176"/>
      <c r="N12" s="177"/>
      <c r="O12" s="88">
        <f t="shared" si="4"/>
        <v>-3.4924596548080444E-9</v>
      </c>
      <c r="P12" s="26">
        <f t="shared" si="5"/>
        <v>81.826413369197155</v>
      </c>
      <c r="Q12" s="352"/>
      <c r="R12" s="352"/>
      <c r="T12" s="279">
        <v>44433</v>
      </c>
      <c r="V12" s="225">
        <f>V11-J6</f>
        <v>-13450776.86999999</v>
      </c>
    </row>
    <row r="13" spans="1:50" ht="57" thickBot="1" x14ac:dyDescent="0.3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10860639.619999997</v>
      </c>
      <c r="J13" s="35">
        <f>J14+J32</f>
        <v>8886871.870000001</v>
      </c>
      <c r="K13" s="35">
        <f>K14+K32</f>
        <v>1973767.7499999998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-3.4924596548080444E-9</v>
      </c>
      <c r="P13" s="26">
        <f t="shared" si="5"/>
        <v>81.826413369197155</v>
      </c>
      <c r="Q13" s="352"/>
      <c r="R13" s="352"/>
      <c r="T13" s="280">
        <v>125716120.73999999</v>
      </c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9460178.2399999984</v>
      </c>
      <c r="J14" s="28">
        <f>J15+J22+J27+J29+J30+J31+J21+J18+J28</f>
        <v>7803092.6500000004</v>
      </c>
      <c r="K14" s="28">
        <f>K15+K22+K27+K29+K30+K31+K21+K18+K28</f>
        <v>1657085.5899999999</v>
      </c>
      <c r="L14" s="28" t="e">
        <f t="shared" ref="L14:N14" si="6">L15+L22+L27+L29+L30+L31+L21+L18+L28</f>
        <v>#REF!</v>
      </c>
      <c r="M14" s="28">
        <f t="shared" si="6"/>
        <v>-1171830.2000000002</v>
      </c>
      <c r="N14" s="28">
        <f t="shared" si="6"/>
        <v>2627532.3100000005</v>
      </c>
      <c r="O14" s="28">
        <f>O15+O22+O27+O29+O30+O31+O21+O18+O28</f>
        <v>0</v>
      </c>
      <c r="P14" s="26">
        <f t="shared" si="5"/>
        <v>82.483569041083953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2340216.92</v>
      </c>
      <c r="K15" s="28">
        <f>K16+K17</f>
        <v>583155.5399999998</v>
      </c>
      <c r="L15" s="28">
        <f t="shared" ref="L15:N15" si="7">L16+L17+L18</f>
        <v>1498679.9700000002</v>
      </c>
      <c r="M15" s="28">
        <f t="shared" si="7"/>
        <v>-1128852.3400000003</v>
      </c>
      <c r="N15" s="28">
        <f t="shared" si="7"/>
        <v>2627532.3100000005</v>
      </c>
      <c r="O15" s="28">
        <f>O16+O17</f>
        <v>0</v>
      </c>
      <c r="P15" s="26">
        <f t="shared" si="5"/>
        <v>80.051958894078112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1868507.6</v>
      </c>
      <c r="K16" s="100">
        <f>I16-J16</f>
        <v>369827.62999999989</v>
      </c>
      <c r="L16" s="100">
        <f t="shared" ref="L16:N16" si="8">J16-K16</f>
        <v>1498679.9700000002</v>
      </c>
      <c r="M16" s="100">
        <f t="shared" si="8"/>
        <v>-1128852.3400000003</v>
      </c>
      <c r="N16" s="100">
        <f t="shared" si="8"/>
        <v>2627532.3100000005</v>
      </c>
      <c r="O16" s="153">
        <f>I16-J16-K16</f>
        <v>0</v>
      </c>
      <c r="P16" s="26">
        <f t="shared" si="5"/>
        <v>83.477558453118746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471709.32</v>
      </c>
      <c r="K17" s="100">
        <f>I17-J17</f>
        <v>213327.90999999997</v>
      </c>
      <c r="L17" s="165"/>
      <c r="M17" s="176"/>
      <c r="N17" s="177"/>
      <c r="O17" s="153">
        <f t="shared" ref="O17:O21" si="9">I17-J17-K17</f>
        <v>0</v>
      </c>
      <c r="P17" s="26">
        <f t="shared" si="5"/>
        <v>68.858931944472573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65000</v>
      </c>
      <c r="J18" s="33">
        <f t="shared" ref="J18:O18" si="10">J19+J20</f>
        <v>66230</v>
      </c>
      <c r="K18" s="28">
        <f t="shared" si="10"/>
        <v>-1230</v>
      </c>
      <c r="L18" s="28">
        <f t="shared" si="10"/>
        <v>0</v>
      </c>
      <c r="M18" s="28">
        <f t="shared" si="10"/>
        <v>0</v>
      </c>
      <c r="N18" s="28">
        <f t="shared" si="10"/>
        <v>0</v>
      </c>
      <c r="O18" s="28">
        <f t="shared" si="10"/>
        <v>0</v>
      </c>
      <c r="P18" s="26">
        <f t="shared" si="5"/>
        <v>101.89230769230768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0" si="11">I19-J19</f>
        <v>0</v>
      </c>
      <c r="L19" s="28"/>
      <c r="M19" s="28"/>
      <c r="N19" s="28"/>
      <c r="O19" s="35">
        <f t="shared" si="9"/>
        <v>0</v>
      </c>
      <c r="P19" s="26">
        <v>0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23">
        <f>45000+20000</f>
        <v>65000</v>
      </c>
      <c r="J20" s="35">
        <f>27189+39041</f>
        <v>66230</v>
      </c>
      <c r="K20" s="35">
        <f t="shared" si="11"/>
        <v>-1230</v>
      </c>
      <c r="L20" s="28"/>
      <c r="M20" s="28"/>
      <c r="N20" s="28"/>
      <c r="O20" s="35">
        <f t="shared" si="9"/>
        <v>0</v>
      </c>
      <c r="P20" s="26">
        <f t="shared" si="5"/>
        <v>101.89230769230768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33">
        <v>30000</v>
      </c>
      <c r="J21" s="28">
        <v>22306.86</v>
      </c>
      <c r="K21" s="28">
        <f>I21-J21</f>
        <v>7693.1399999999994</v>
      </c>
      <c r="L21" s="166" t="e">
        <f>L22+L23</f>
        <v>#REF!</v>
      </c>
      <c r="M21" s="180"/>
      <c r="N21" s="181"/>
      <c r="O21" s="88">
        <f t="shared" si="9"/>
        <v>0</v>
      </c>
      <c r="P21" s="26">
        <f t="shared" si="5"/>
        <v>74.356200000000001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5365062.6399999997</v>
      </c>
      <c r="J22" s="33">
        <f t="shared" ref="J22:O22" si="12">J23+J25+J26+J24</f>
        <v>4297595.7300000004</v>
      </c>
      <c r="K22" s="28">
        <f t="shared" si="12"/>
        <v>1067466.9100000001</v>
      </c>
      <c r="L22" s="28" t="e">
        <f t="shared" si="12"/>
        <v>#REF!</v>
      </c>
      <c r="M22" s="28">
        <f t="shared" si="12"/>
        <v>0</v>
      </c>
      <c r="N22" s="28">
        <f t="shared" si="12"/>
        <v>0</v>
      </c>
      <c r="O22" s="28">
        <f t="shared" si="12"/>
        <v>0</v>
      </c>
      <c r="P22" s="26">
        <f t="shared" si="5"/>
        <v>80.103365391461693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f>155350.32-30000</f>
        <v>125350.32</v>
      </c>
      <c r="J23" s="23">
        <v>92876.83</v>
      </c>
      <c r="K23" s="35">
        <f>I23-J23</f>
        <v>32473.490000000005</v>
      </c>
      <c r="L23" s="165" t="e">
        <f>#REF!</f>
        <v>#REF!</v>
      </c>
      <c r="M23" s="176"/>
      <c r="N23" s="177"/>
      <c r="O23" s="153">
        <f>I23-J23-K23</f>
        <v>0</v>
      </c>
      <c r="P23" s="26">
        <f t="shared" si="5"/>
        <v>74.093811647229941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0</v>
      </c>
      <c r="J24" s="23">
        <v>0</v>
      </c>
      <c r="K24" s="35">
        <f>I24-J24</f>
        <v>0</v>
      </c>
      <c r="L24" s="165" t="e">
        <f>#REF!</f>
        <v>#REF!</v>
      </c>
      <c r="M24" s="176"/>
      <c r="N24" s="177"/>
      <c r="O24" s="153">
        <f t="shared" ref="O24:O40" si="13">I24-J24-K24</f>
        <v>0</v>
      </c>
      <c r="P24" s="26"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f>2218116.29+640000+400000</f>
        <v>3258116.29</v>
      </c>
      <c r="J25" s="23">
        <v>3063010.71</v>
      </c>
      <c r="K25" s="35">
        <f>I25-J25</f>
        <v>195105.58000000007</v>
      </c>
      <c r="L25" s="87" t="e">
        <f>SUM(#REF!)</f>
        <v>#REF!</v>
      </c>
      <c r="M25" s="176"/>
      <c r="N25" s="177"/>
      <c r="O25" s="153">
        <f t="shared" si="13"/>
        <v>0</v>
      </c>
      <c r="P25" s="26">
        <f t="shared" si="5"/>
        <v>94.011706070810632</v>
      </c>
      <c r="Q25" s="347" t="s">
        <v>208</v>
      </c>
      <c r="R25" s="348"/>
    </row>
    <row r="26" spans="1:18" ht="47.2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f>2835643.25-45000-705789.47-103257.75</f>
        <v>1981596.03</v>
      </c>
      <c r="J26" s="23">
        <f>1053875.19+87833</f>
        <v>1141708.19</v>
      </c>
      <c r="K26" s="23">
        <f t="shared" ref="K26:K31" si="14">I26-J26</f>
        <v>839887.84000000008</v>
      </c>
      <c r="L26" s="24" t="e">
        <f>#REF!</f>
        <v>#REF!</v>
      </c>
      <c r="M26" s="182"/>
      <c r="N26" s="183"/>
      <c r="O26" s="25">
        <f t="shared" si="13"/>
        <v>0</v>
      </c>
      <c r="P26" s="26">
        <f t="shared" si="5"/>
        <v>57.615587269823095</v>
      </c>
      <c r="Q26" s="347" t="s">
        <v>207</v>
      </c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f>1141625.86-67004.86</f>
        <v>1074621</v>
      </c>
      <c r="J27" s="23">
        <v>1074621</v>
      </c>
      <c r="K27" s="23">
        <f t="shared" si="14"/>
        <v>0</v>
      </c>
      <c r="L27" s="24">
        <f t="shared" ref="L27:L28" si="15">L29+L30</f>
        <v>45000</v>
      </c>
      <c r="M27" s="182"/>
      <c r="N27" s="183"/>
      <c r="O27" s="25">
        <f t="shared" si="13"/>
        <v>0</v>
      </c>
      <c r="P27" s="26">
        <f t="shared" si="5"/>
        <v>100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100</v>
      </c>
      <c r="J28" s="23">
        <v>100</v>
      </c>
      <c r="K28" s="23">
        <f t="shared" si="14"/>
        <v>0</v>
      </c>
      <c r="L28" s="24">
        <f t="shared" si="15"/>
        <v>30000</v>
      </c>
      <c r="M28" s="182"/>
      <c r="N28" s="183"/>
      <c r="O28" s="25">
        <f t="shared" si="13"/>
        <v>0</v>
      </c>
      <c r="P28" s="26">
        <f t="shared" si="5"/>
        <v>100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f>1213.52+500</f>
        <v>1713.52</v>
      </c>
      <c r="J29" s="230">
        <v>1713.52</v>
      </c>
      <c r="K29" s="23">
        <f t="shared" si="14"/>
        <v>0</v>
      </c>
      <c r="L29" s="38">
        <v>15000</v>
      </c>
      <c r="M29" s="182">
        <f>J29-L29</f>
        <v>-13286.48</v>
      </c>
      <c r="N29" s="183"/>
      <c r="O29" s="25">
        <f t="shared" si="13"/>
        <v>0</v>
      </c>
      <c r="P29" s="26">
        <f t="shared" si="5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v>308.62</v>
      </c>
      <c r="J30" s="23">
        <v>308.62</v>
      </c>
      <c r="K30" s="23">
        <f t="shared" si="14"/>
        <v>0</v>
      </c>
      <c r="L30" s="38">
        <v>30000</v>
      </c>
      <c r="M30" s="182">
        <f>J30-L30</f>
        <v>-29691.38</v>
      </c>
      <c r="N30" s="183"/>
      <c r="O30" s="25">
        <f t="shared" si="13"/>
        <v>0</v>
      </c>
      <c r="P30" s="26">
        <f t="shared" si="5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4"/>
        <v>0</v>
      </c>
      <c r="L31" s="38"/>
      <c r="M31" s="182"/>
      <c r="N31" s="183"/>
      <c r="O31" s="25">
        <f t="shared" si="13"/>
        <v>0</v>
      </c>
      <c r="P31" s="26">
        <v>0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1400461.38</v>
      </c>
      <c r="J32" s="33">
        <f>J34+J33+J37+J38+J39+J40+J35+J36</f>
        <v>1083779.22</v>
      </c>
      <c r="K32" s="33">
        <f>K34+K33+K37+K38+K39+K40+K35+K36</f>
        <v>316682.15999999997</v>
      </c>
      <c r="L32" s="33" t="e">
        <f t="shared" ref="L32:N32" si="16">L34+L33+L37+L38+L39+L40</f>
        <v>#REF!</v>
      </c>
      <c r="M32" s="33">
        <f t="shared" si="16"/>
        <v>-4516033.04</v>
      </c>
      <c r="N32" s="33">
        <f t="shared" si="16"/>
        <v>0</v>
      </c>
      <c r="O32" s="33">
        <f>O34+O33+O37+O38+O39+O40</f>
        <v>0</v>
      </c>
      <c r="P32" s="31">
        <f t="shared" si="5"/>
        <v>77.387297891784783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f>642896.05+173844.6</f>
        <v>816740.65</v>
      </c>
      <c r="J33" s="23">
        <v>599268.43000000005</v>
      </c>
      <c r="K33" s="23">
        <f>I33-J33</f>
        <v>217472.21999999997</v>
      </c>
      <c r="L33" s="39" t="e">
        <f>#REF!+#REF!+L79+#REF!+#REF!</f>
        <v>#REF!</v>
      </c>
      <c r="M33" s="182"/>
      <c r="N33" s="183"/>
      <c r="O33" s="25">
        <f>I33-J33-K33</f>
        <v>0</v>
      </c>
      <c r="P33" s="26">
        <f t="shared" si="5"/>
        <v>73.373160745703061</v>
      </c>
      <c r="Q33" s="347" t="s">
        <v>206</v>
      </c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20000</v>
      </c>
      <c r="J34" s="23">
        <v>0</v>
      </c>
      <c r="K34" s="23">
        <f t="shared" ref="K34:K37" si="17">I34-J34</f>
        <v>20000</v>
      </c>
      <c r="L34" s="23">
        <f t="shared" ref="L34:N34" si="18">L37+L39+L40+L38</f>
        <v>2501159.4</v>
      </c>
      <c r="M34" s="23">
        <f t="shared" si="18"/>
        <v>-2258016.52</v>
      </c>
      <c r="N34" s="23">
        <f t="shared" si="18"/>
        <v>0</v>
      </c>
      <c r="O34" s="25">
        <f t="shared" si="13"/>
        <v>0</v>
      </c>
      <c r="P34" s="26">
        <f t="shared" si="5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3"/>
        <v>0</v>
      </c>
      <c r="P35" s="26">
        <v>0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238.5</v>
      </c>
      <c r="J36" s="34">
        <v>238.5</v>
      </c>
      <c r="K36" s="23">
        <f>I36-J36</f>
        <v>0</v>
      </c>
      <c r="L36" s="97"/>
      <c r="M36" s="98"/>
      <c r="N36" s="98"/>
      <c r="O36" s="25">
        <f t="shared" si="13"/>
        <v>0</v>
      </c>
      <c r="P36" s="26">
        <f t="shared" si="5"/>
        <v>100</v>
      </c>
      <c r="Q36" s="287"/>
      <c r="R36" s="288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f>150000-56138.52</f>
        <v>93861.48000000001</v>
      </c>
      <c r="J37" s="34">
        <v>73861.48</v>
      </c>
      <c r="K37" s="23">
        <f t="shared" si="17"/>
        <v>20000.000000000015</v>
      </c>
      <c r="L37" s="38">
        <v>1178466</v>
      </c>
      <c r="M37" s="182">
        <f>J37-L37</f>
        <v>-1104604.52</v>
      </c>
      <c r="N37" s="183"/>
      <c r="O37" s="25">
        <f t="shared" si="13"/>
        <v>0</v>
      </c>
      <c r="P37" s="26">
        <f t="shared" si="5"/>
        <v>78.692004430358438</v>
      </c>
      <c r="Q37" s="347"/>
      <c r="R37" s="348"/>
    </row>
    <row r="38" spans="1:50" s="15" customFormat="1" ht="31.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f>90000-64946</f>
        <v>25054</v>
      </c>
      <c r="J38" s="34">
        <v>25054</v>
      </c>
      <c r="K38" s="23">
        <v>0</v>
      </c>
      <c r="L38" s="38">
        <v>1178466</v>
      </c>
      <c r="M38" s="182">
        <f>J38-L38</f>
        <v>-1153412</v>
      </c>
      <c r="N38" s="183"/>
      <c r="O38" s="25">
        <f t="shared" si="13"/>
        <v>0</v>
      </c>
      <c r="P38" s="26">
        <f t="shared" si="5"/>
        <v>100</v>
      </c>
      <c r="Q38" s="388"/>
      <c r="R38" s="388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f>537064.22-115412.47</f>
        <v>421651.75</v>
      </c>
      <c r="J39" s="34">
        <v>362441.81</v>
      </c>
      <c r="K39" s="23">
        <f>I39-J39</f>
        <v>59209.94</v>
      </c>
      <c r="L39" s="38"/>
      <c r="M39" s="182"/>
      <c r="N39" s="183"/>
      <c r="O39" s="25">
        <f t="shared" si="13"/>
        <v>0</v>
      </c>
      <c r="P39" s="26">
        <f t="shared" si="5"/>
        <v>85.957620239925475</v>
      </c>
      <c r="Q39" s="388"/>
      <c r="R39" s="38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f>40000-17085</f>
        <v>22915</v>
      </c>
      <c r="J40" s="34">
        <v>22915</v>
      </c>
      <c r="K40" s="23">
        <v>0</v>
      </c>
      <c r="L40" s="38">
        <f>88938.77+50000+5288.63</f>
        <v>144227.40000000002</v>
      </c>
      <c r="M40" s="184"/>
      <c r="N40" s="185"/>
      <c r="O40" s="90">
        <f t="shared" si="13"/>
        <v>0</v>
      </c>
      <c r="P40" s="26">
        <f>J40/I40*100</f>
        <v>100</v>
      </c>
      <c r="Q40" s="388"/>
      <c r="R40" s="38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513678.33</v>
      </c>
      <c r="K41" s="17">
        <f>K42+K44+K45+K43</f>
        <v>87777.50999999998</v>
      </c>
      <c r="L41" s="42"/>
      <c r="M41" s="186"/>
      <c r="N41" s="187"/>
      <c r="O41" s="20">
        <f>I41-K41-J41</f>
        <v>0</v>
      </c>
      <c r="P41" s="21">
        <f>J41/I41*100</f>
        <v>85.405826303058262</v>
      </c>
      <c r="Q41" s="331"/>
      <c r="R41" s="331"/>
      <c r="S41" s="29">
        <f>S42+S44</f>
        <v>316848.21000000002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412989.71</v>
      </c>
      <c r="K42" s="35">
        <f>I42-J42</f>
        <v>56260.989999999991</v>
      </c>
      <c r="L42" s="45"/>
      <c r="M42" s="188"/>
      <c r="N42" s="189"/>
      <c r="O42" s="25">
        <f>I42-K42-J42</f>
        <v>0</v>
      </c>
      <c r="P42" s="26">
        <f t="shared" si="5"/>
        <v>88.010462211350998</v>
      </c>
      <c r="Q42" s="347"/>
      <c r="R42" s="348"/>
      <c r="S42" s="29">
        <f>T42-K42</f>
        <v>266010.21000000002</v>
      </c>
      <c r="T42" s="1">
        <f>292753+(4919.7*3*2)</f>
        <v>322271.2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47451</v>
      </c>
      <c r="K43" s="35">
        <f>I43-J43</f>
        <v>28420.14</v>
      </c>
      <c r="L43" s="45"/>
      <c r="M43" s="188"/>
      <c r="N43" s="189"/>
      <c r="O43" s="25">
        <f>I43-K43-J43</f>
        <v>0</v>
      </c>
      <c r="P43" s="26">
        <f t="shared" si="5"/>
        <v>62.541567188788783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51336</v>
      </c>
      <c r="K44" s="35">
        <f t="shared" ref="K44:K45" si="19">I44-J44</f>
        <v>498</v>
      </c>
      <c r="L44" s="45"/>
      <c r="M44" s="188"/>
      <c r="N44" s="189"/>
      <c r="O44" s="25">
        <f>I44-K44-J44</f>
        <v>0</v>
      </c>
      <c r="P44" s="26">
        <f t="shared" si="5"/>
        <v>99.039240652853351</v>
      </c>
      <c r="Q44" s="331"/>
      <c r="R44" s="331"/>
      <c r="S44" s="29">
        <f>T44-K44</f>
        <v>50838</v>
      </c>
      <c r="T44" s="1">
        <f>8556*6</f>
        <v>51336</v>
      </c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1901.62</v>
      </c>
      <c r="K45" s="35">
        <f t="shared" si="19"/>
        <v>2598.38</v>
      </c>
      <c r="L45" s="24" t="e">
        <f t="shared" ref="L45" si="20">L46+L47</f>
        <v>#REF!</v>
      </c>
      <c r="M45" s="182"/>
      <c r="N45" s="183"/>
      <c r="O45" s="25">
        <f t="shared" ref="O45" si="21">I45-J45-K45</f>
        <v>0</v>
      </c>
      <c r="P45" s="26">
        <f t="shared" si="5"/>
        <v>42.258222222222216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1460000</v>
      </c>
      <c r="J46" s="17">
        <f t="shared" ref="J46:O46" si="22">J47</f>
        <v>1380467.23</v>
      </c>
      <c r="K46" s="17">
        <f>K47</f>
        <v>125532.77000000002</v>
      </c>
      <c r="L46" s="17" t="e">
        <f t="shared" si="22"/>
        <v>#REF!</v>
      </c>
      <c r="M46" s="17" t="e">
        <f t="shared" si="22"/>
        <v>#REF!</v>
      </c>
      <c r="N46" s="17" t="e">
        <f t="shared" si="22"/>
        <v>#REF!</v>
      </c>
      <c r="O46" s="17">
        <f t="shared" si="22"/>
        <v>-46000</v>
      </c>
      <c r="P46" s="21">
        <f t="shared" si="5"/>
        <v>94.552549999999997</v>
      </c>
      <c r="Q46" s="380"/>
      <c r="R46" s="3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f>1250000+210000</f>
        <v>1460000</v>
      </c>
      <c r="J47" s="23">
        <v>1380467.23</v>
      </c>
      <c r="K47" s="23">
        <f>I47-J47+46000</f>
        <v>125532.77000000002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5">
        <f>I47-J47-K47</f>
        <v>-46000</v>
      </c>
      <c r="P47" s="26">
        <f t="shared" si="5"/>
        <v>94.552549999999997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11234552.800000001</v>
      </c>
      <c r="J48" s="17">
        <f t="shared" ref="J48:K48" si="23">J49</f>
        <v>8138516.7400000002</v>
      </c>
      <c r="K48" s="17">
        <f t="shared" si="23"/>
        <v>3096036.0600000005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4">I48-J48-K48</f>
        <v>0</v>
      </c>
      <c r="P48" s="17">
        <f>P49</f>
        <v>72.441839785558699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f>11444552.8-210000</f>
        <v>11234552.800000001</v>
      </c>
      <c r="J49" s="34">
        <v>8138516.7400000002</v>
      </c>
      <c r="K49" s="36">
        <f>I49-J49</f>
        <v>3096036.0600000005</v>
      </c>
      <c r="L49" s="37"/>
      <c r="M49" s="182"/>
      <c r="N49" s="183"/>
      <c r="O49" s="25">
        <f>I49-J49-K49</f>
        <v>0</v>
      </c>
      <c r="P49" s="26">
        <f>J49/I49*100</f>
        <v>72.441839785558699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5">J51+J52</f>
        <v>8908.9600000000009</v>
      </c>
      <c r="K50" s="17">
        <f t="shared" si="25"/>
        <v>4460.0599999999995</v>
      </c>
      <c r="L50" s="42"/>
      <c r="M50" s="186"/>
      <c r="N50" s="187"/>
      <c r="O50" s="20">
        <f>I50-J50-K50</f>
        <v>0</v>
      </c>
      <c r="P50" s="21">
        <f t="shared" si="5"/>
        <v>66.638841141684296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7083.68</v>
      </c>
      <c r="K51" s="35">
        <f>I51-J51</f>
        <v>3184.3899999999994</v>
      </c>
      <c r="L51" s="93"/>
      <c r="M51" s="188"/>
      <c r="N51" s="189"/>
      <c r="O51" s="25">
        <f t="shared" ref="O51:O52" si="26">I51-J51-K51</f>
        <v>0</v>
      </c>
      <c r="P51" s="26">
        <f t="shared" si="5"/>
        <v>68.987453338358634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1825.28</v>
      </c>
      <c r="K52" s="35">
        <f>I52-J52</f>
        <v>1275.6699999999998</v>
      </c>
      <c r="L52" s="93"/>
      <c r="M52" s="188"/>
      <c r="N52" s="189"/>
      <c r="O52" s="25">
        <f t="shared" si="26"/>
        <v>0</v>
      </c>
      <c r="P52" s="26">
        <f t="shared" si="5"/>
        <v>58.861961656911596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7">J54+J55</f>
        <v>56375.47</v>
      </c>
      <c r="K53" s="17">
        <f t="shared" si="27"/>
        <v>19023.189999999999</v>
      </c>
      <c r="L53" s="42"/>
      <c r="M53" s="186"/>
      <c r="N53" s="187"/>
      <c r="O53" s="20">
        <f>I53-J53-K53</f>
        <v>12951.959999999995</v>
      </c>
      <c r="P53" s="21">
        <f t="shared" si="5"/>
        <v>63.808799530778629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67857.62</v>
      </c>
      <c r="J54" s="34">
        <v>43299.13</v>
      </c>
      <c r="K54" s="35">
        <f>I54-J54-9947.74</f>
        <v>14610.749999999998</v>
      </c>
      <c r="L54" s="93"/>
      <c r="M54" s="188"/>
      <c r="N54" s="189"/>
      <c r="O54" s="25">
        <f t="shared" ref="O54:O55" si="28">I54-J54-K54</f>
        <v>9947.74</v>
      </c>
      <c r="P54" s="26">
        <f t="shared" si="5"/>
        <v>63.808795533942984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20493</v>
      </c>
      <c r="J55" s="34">
        <v>13076.34</v>
      </c>
      <c r="K55" s="35">
        <f>I55-J55-3004.22</f>
        <v>4412.4400000000005</v>
      </c>
      <c r="L55" s="93"/>
      <c r="M55" s="188"/>
      <c r="N55" s="189"/>
      <c r="O55" s="25">
        <f t="shared" si="28"/>
        <v>3004.2199999999993</v>
      </c>
      <c r="P55" s="26">
        <f t="shared" si="5"/>
        <v>63.808812765334508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9">J57+J58</f>
        <v>0</v>
      </c>
      <c r="K56" s="17">
        <f t="shared" si="29"/>
        <v>0</v>
      </c>
      <c r="L56" s="42"/>
      <c r="M56" s="186"/>
      <c r="N56" s="187"/>
      <c r="O56" s="20">
        <f>I56-J56-K56</f>
        <v>0</v>
      </c>
      <c r="P56" s="21" t="e">
        <f t="shared" si="5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30">I57-J57-K57</f>
        <v>0</v>
      </c>
      <c r="P57" s="26" t="e">
        <f t="shared" si="5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30"/>
        <v>0</v>
      </c>
      <c r="P58" s="26" t="e">
        <f t="shared" si="5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31">K60</f>
        <v>0</v>
      </c>
      <c r="L59" s="17" t="e">
        <f t="shared" si="31"/>
        <v>#REF!</v>
      </c>
      <c r="M59" s="17">
        <f t="shared" si="31"/>
        <v>0</v>
      </c>
      <c r="N59" s="17">
        <f t="shared" si="31"/>
        <v>0</v>
      </c>
      <c r="O59" s="20">
        <f>I59-J59-K59</f>
        <v>0</v>
      </c>
      <c r="P59" s="21" t="e">
        <f t="shared" si="5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5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I64+I65+I66+I67+I68+I62</f>
        <v>217600.53</v>
      </c>
      <c r="J61" s="17">
        <f>J64+J65+J66+J67+J68+J62</f>
        <v>217573</v>
      </c>
      <c r="K61" s="17">
        <f t="shared" ref="K61:O61" si="32">K64+K65+K66+K67+K68+K62</f>
        <v>3241.9999999999986</v>
      </c>
      <c r="L61" s="17" t="e">
        <f t="shared" si="32"/>
        <v>#REF!</v>
      </c>
      <c r="M61" s="17" t="e">
        <f t="shared" si="32"/>
        <v>#REF!</v>
      </c>
      <c r="N61" s="17" t="e">
        <f t="shared" si="32"/>
        <v>#REF!</v>
      </c>
      <c r="O61" s="17">
        <f t="shared" si="32"/>
        <v>-3214.47</v>
      </c>
      <c r="P61" s="21">
        <f>J61/I61*100</f>
        <v>99.987348376403304</v>
      </c>
      <c r="Q61" s="307"/>
      <c r="R61" s="308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26581.53</v>
      </c>
      <c r="J62" s="44">
        <f>J63</f>
        <v>26554</v>
      </c>
      <c r="K62" s="33">
        <f>K63</f>
        <v>3241.9999999999986</v>
      </c>
      <c r="L62" s="92"/>
      <c r="M62" s="184"/>
      <c r="N62" s="185"/>
      <c r="O62" s="30">
        <f t="shared" ref="O62:O66" si="33">I62-J62-K62</f>
        <v>-3214.47</v>
      </c>
      <c r="P62" s="31">
        <f t="shared" ref="P62:P68" si="34">J62/I62*100</f>
        <v>99.896431845721452</v>
      </c>
      <c r="Q62" s="309"/>
      <c r="R62" s="310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26581.53</v>
      </c>
      <c r="J63" s="23">
        <v>26554</v>
      </c>
      <c r="K63" s="34">
        <f>I63-J63+3214.47</f>
        <v>3241.9999999999986</v>
      </c>
      <c r="L63" s="24"/>
      <c r="M63" s="182"/>
      <c r="N63" s="183"/>
      <c r="O63" s="25">
        <f t="shared" si="33"/>
        <v>-3214.47</v>
      </c>
      <c r="P63" s="26">
        <f t="shared" si="34"/>
        <v>99.896431845721452</v>
      </c>
      <c r="Q63" s="389" t="s">
        <v>209</v>
      </c>
      <c r="R63" s="390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172367.78</v>
      </c>
      <c r="J64" s="23">
        <v>172367.78</v>
      </c>
      <c r="K64" s="34">
        <f>I64-J64</f>
        <v>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si="33"/>
        <v>0</v>
      </c>
      <c r="P64" s="26">
        <f t="shared" si="34"/>
        <v>100</v>
      </c>
      <c r="Q64" s="309"/>
      <c r="R64" s="310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3986.5</v>
      </c>
      <c r="J65" s="23">
        <v>3986.5</v>
      </c>
      <c r="K65" s="34">
        <f t="shared" ref="K65:K68" si="35">I65-J65</f>
        <v>0</v>
      </c>
      <c r="L65" s="38">
        <v>107900</v>
      </c>
      <c r="M65" s="182"/>
      <c r="N65" s="183"/>
      <c r="O65" s="25">
        <f t="shared" si="33"/>
        <v>0</v>
      </c>
      <c r="P65" s="26">
        <f t="shared" si="34"/>
        <v>100</v>
      </c>
      <c r="Q65" s="309"/>
      <c r="R65" s="31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x14ac:dyDescent="0.25">
      <c r="A66" s="99" t="s">
        <v>113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114</v>
      </c>
      <c r="H66" s="22"/>
      <c r="I66" s="23">
        <v>0</v>
      </c>
      <c r="J66" s="23">
        <v>0</v>
      </c>
      <c r="K66" s="34">
        <f t="shared" si="35"/>
        <v>0</v>
      </c>
      <c r="L66" s="45"/>
      <c r="M66" s="188"/>
      <c r="N66" s="189"/>
      <c r="O66" s="25">
        <f t="shared" si="33"/>
        <v>0</v>
      </c>
      <c r="P66" s="26" t="e">
        <f t="shared" si="34"/>
        <v>#DIV/0!</v>
      </c>
      <c r="Q66" s="309"/>
      <c r="R66" s="310"/>
    </row>
    <row r="67" spans="1:50" s="15" customFormat="1" ht="37.5" x14ac:dyDescent="0.25">
      <c r="A67" s="175" t="s">
        <v>109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104</v>
      </c>
      <c r="H67" s="22"/>
      <c r="I67" s="23">
        <v>14664.72</v>
      </c>
      <c r="J67" s="23">
        <v>14664.72</v>
      </c>
      <c r="K67" s="34">
        <f t="shared" si="35"/>
        <v>0</v>
      </c>
      <c r="L67" s="38">
        <v>1178466</v>
      </c>
      <c r="M67" s="182">
        <f>J67-L67</f>
        <v>-1163801.28</v>
      </c>
      <c r="N67" s="183"/>
      <c r="O67" s="25">
        <f>I67-J67-K67</f>
        <v>0</v>
      </c>
      <c r="P67" s="26">
        <v>0</v>
      </c>
      <c r="Q67" s="309"/>
      <c r="R67" s="310"/>
    </row>
    <row r="68" spans="1:50" ht="37.5" x14ac:dyDescent="0.25">
      <c r="A68" s="175" t="s">
        <v>110</v>
      </c>
      <c r="B68" s="22" t="s">
        <v>9</v>
      </c>
      <c r="C68" s="22" t="s">
        <v>12</v>
      </c>
      <c r="D68" s="22" t="s">
        <v>12</v>
      </c>
      <c r="E68" s="22" t="s">
        <v>134</v>
      </c>
      <c r="F68" s="22" t="s">
        <v>22</v>
      </c>
      <c r="G68" s="22" t="s">
        <v>105</v>
      </c>
      <c r="H68" s="22"/>
      <c r="I68" s="23">
        <v>0</v>
      </c>
      <c r="J68" s="23">
        <v>0</v>
      </c>
      <c r="K68" s="34">
        <f t="shared" si="35"/>
        <v>0</v>
      </c>
      <c r="L68" s="45" t="e">
        <f>L107</f>
        <v>#REF!</v>
      </c>
      <c r="M68" s="192"/>
      <c r="N68" s="193"/>
      <c r="O68" s="25">
        <f>I68-J68-K68</f>
        <v>0</v>
      </c>
      <c r="P68" s="26" t="e">
        <f t="shared" si="34"/>
        <v>#DIV/0!</v>
      </c>
      <c r="Q68" s="309"/>
      <c r="R68" s="310"/>
    </row>
    <row r="69" spans="1:50" ht="121.5" customHeight="1" x14ac:dyDescent="0.25">
      <c r="A69" s="190" t="s">
        <v>64</v>
      </c>
      <c r="B69" s="41" t="s">
        <v>9</v>
      </c>
      <c r="C69" s="41" t="s">
        <v>12</v>
      </c>
      <c r="D69" s="41" t="s">
        <v>12</v>
      </c>
      <c r="E69" s="41" t="s">
        <v>65</v>
      </c>
      <c r="F69" s="41"/>
      <c r="G69" s="41"/>
      <c r="H69" s="41"/>
      <c r="I69" s="17">
        <f>I71+I70</f>
        <v>20161.89</v>
      </c>
      <c r="J69" s="17">
        <f>J71+J70</f>
        <v>20161</v>
      </c>
      <c r="K69" s="17">
        <f>K71</f>
        <v>0</v>
      </c>
      <c r="L69" s="42"/>
      <c r="M69" s="186"/>
      <c r="N69" s="187"/>
      <c r="O69" s="20">
        <f>I69-J69-K69</f>
        <v>0.88999999999941792</v>
      </c>
      <c r="P69" s="21">
        <f>J69/I69*100</f>
        <v>99.995585731298007</v>
      </c>
      <c r="Q69" s="309"/>
      <c r="R69" s="310"/>
    </row>
    <row r="70" spans="1:50" ht="40.5" customHeight="1" x14ac:dyDescent="0.25">
      <c r="A70" s="175" t="s">
        <v>43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44</v>
      </c>
      <c r="H70" s="22"/>
      <c r="I70" s="23">
        <v>11368.42</v>
      </c>
      <c r="J70" s="23">
        <v>11368.42</v>
      </c>
      <c r="K70" s="34">
        <f t="shared" ref="K70" si="36">I70-J70</f>
        <v>0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ref="O70:O71" si="37">I70-J70-K70</f>
        <v>0</v>
      </c>
      <c r="P70" s="26">
        <f t="shared" ref="P70:P71" si="38">J70/I70*100</f>
        <v>100</v>
      </c>
      <c r="Q70" s="309"/>
      <c r="R70" s="310"/>
    </row>
    <row r="71" spans="1:50" ht="40.5" customHeight="1" x14ac:dyDescent="0.25">
      <c r="A71" s="175" t="s">
        <v>109</v>
      </c>
      <c r="B71" s="22" t="s">
        <v>9</v>
      </c>
      <c r="C71" s="22" t="s">
        <v>12</v>
      </c>
      <c r="D71" s="22" t="s">
        <v>12</v>
      </c>
      <c r="E71" s="22" t="s">
        <v>66</v>
      </c>
      <c r="F71" s="22" t="s">
        <v>22</v>
      </c>
      <c r="G71" s="22" t="s">
        <v>104</v>
      </c>
      <c r="H71" s="22"/>
      <c r="I71" s="23">
        <v>8793.4699999999993</v>
      </c>
      <c r="J71" s="23">
        <v>8792.58</v>
      </c>
      <c r="K71" s="34">
        <v>0</v>
      </c>
      <c r="L71" s="34" t="e">
        <f>#REF!</f>
        <v>#REF!</v>
      </c>
      <c r="M71" s="34" t="e">
        <f>#REF!</f>
        <v>#REF!</v>
      </c>
      <c r="N71" s="34" t="e">
        <f>#REF!</f>
        <v>#REF!</v>
      </c>
      <c r="O71" s="25">
        <f t="shared" si="37"/>
        <v>0.88999999999941792</v>
      </c>
      <c r="P71" s="26">
        <f t="shared" si="38"/>
        <v>99.989878853285447</v>
      </c>
      <c r="Q71" s="309"/>
      <c r="R71" s="310"/>
    </row>
    <row r="72" spans="1:50" ht="25.5" customHeight="1" x14ac:dyDescent="0.25">
      <c r="A72" s="190" t="s">
        <v>194</v>
      </c>
      <c r="B72" s="41" t="s">
        <v>9</v>
      </c>
      <c r="C72" s="41" t="s">
        <v>12</v>
      </c>
      <c r="D72" s="41" t="s">
        <v>14</v>
      </c>
      <c r="E72" s="41" t="s">
        <v>198</v>
      </c>
      <c r="F72" s="16"/>
      <c r="G72" s="41"/>
      <c r="H72" s="41"/>
      <c r="I72" s="17">
        <f>I73</f>
        <v>65789.47</v>
      </c>
      <c r="J72" s="17">
        <f>J73</f>
        <v>62500</v>
      </c>
      <c r="K72" s="17">
        <f>K73</f>
        <v>3289.4700000000012</v>
      </c>
      <c r="L72" s="42"/>
      <c r="M72" s="186"/>
      <c r="N72" s="187"/>
      <c r="O72" s="20">
        <f>I72-J72-K72</f>
        <v>0</v>
      </c>
      <c r="P72" s="21">
        <f>J72/I72*100</f>
        <v>95.000005320000298</v>
      </c>
      <c r="Q72" s="285"/>
      <c r="R72" s="286"/>
    </row>
    <row r="73" spans="1:50" ht="40.5" customHeight="1" x14ac:dyDescent="0.25">
      <c r="A73" s="175" t="s">
        <v>109</v>
      </c>
      <c r="B73" s="22" t="s">
        <v>9</v>
      </c>
      <c r="C73" s="22" t="s">
        <v>12</v>
      </c>
      <c r="D73" s="22" t="s">
        <v>14</v>
      </c>
      <c r="E73" s="22" t="s">
        <v>198</v>
      </c>
      <c r="F73" s="22" t="s">
        <v>22</v>
      </c>
      <c r="G73" s="22" t="s">
        <v>48</v>
      </c>
      <c r="H73" s="22"/>
      <c r="I73" s="23">
        <v>65789.47</v>
      </c>
      <c r="J73" s="23">
        <v>62500</v>
      </c>
      <c r="K73" s="23">
        <f>I73-J73</f>
        <v>3289.4700000000012</v>
      </c>
      <c r="L73" s="34" t="e">
        <f>#REF!</f>
        <v>#REF!</v>
      </c>
      <c r="M73" s="34" t="e">
        <f>#REF!</f>
        <v>#REF!</v>
      </c>
      <c r="N73" s="34" t="e">
        <f>#REF!</f>
        <v>#REF!</v>
      </c>
      <c r="O73" s="25">
        <f t="shared" ref="O73" si="39">I73-J73-K73</f>
        <v>0</v>
      </c>
      <c r="P73" s="26">
        <f t="shared" ref="P73" si="40">J73/I73*100</f>
        <v>95.000005320000298</v>
      </c>
      <c r="Q73" s="285"/>
      <c r="R73" s="286"/>
    </row>
    <row r="74" spans="1:50" s="2" customFormat="1" ht="20.25" customHeight="1" x14ac:dyDescent="0.3">
      <c r="A74" s="333" t="s">
        <v>54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5"/>
      <c r="Q74" s="340"/>
      <c r="R74" s="340"/>
    </row>
    <row r="75" spans="1:50" ht="19.5" x14ac:dyDescent="0.25">
      <c r="A75" s="173" t="s">
        <v>11</v>
      </c>
      <c r="B75" s="8" t="s">
        <v>9</v>
      </c>
      <c r="C75" s="8" t="s">
        <v>12</v>
      </c>
      <c r="D75" s="8"/>
      <c r="E75" s="8"/>
      <c r="F75" s="8"/>
      <c r="G75" s="8"/>
      <c r="H75" s="8"/>
      <c r="I75" s="9">
        <f t="shared" ref="I75:N75" si="41">I76+I107</f>
        <v>77738610</v>
      </c>
      <c r="J75" s="9">
        <f t="shared" si="41"/>
        <v>60812811.449999996</v>
      </c>
      <c r="K75" s="9">
        <f t="shared" si="41"/>
        <v>16679712.01</v>
      </c>
      <c r="L75" s="9" t="e">
        <f t="shared" si="41"/>
        <v>#REF!</v>
      </c>
      <c r="M75" s="9" t="e">
        <f t="shared" si="41"/>
        <v>#REF!</v>
      </c>
      <c r="N75" s="9" t="e">
        <f t="shared" si="41"/>
        <v>#REF!</v>
      </c>
      <c r="O75" s="11">
        <f>I75-J75-K75</f>
        <v>246086.54000000469</v>
      </c>
      <c r="P75" s="12">
        <f>J75/I75*100</f>
        <v>78.227294583733865</v>
      </c>
      <c r="Q75" s="331"/>
      <c r="R75" s="331"/>
    </row>
    <row r="76" spans="1:50" s="15" customFormat="1" ht="19.5" x14ac:dyDescent="0.25">
      <c r="A76" s="174" t="s">
        <v>13</v>
      </c>
      <c r="B76" s="13" t="s">
        <v>9</v>
      </c>
      <c r="C76" s="13" t="s">
        <v>12</v>
      </c>
      <c r="D76" s="13" t="s">
        <v>14</v>
      </c>
      <c r="E76" s="13"/>
      <c r="F76" s="13"/>
      <c r="G76" s="13"/>
      <c r="H76" s="13"/>
      <c r="I76" s="157">
        <f>I77+I95+I98+I104+I101</f>
        <v>77355534</v>
      </c>
      <c r="J76" s="157">
        <f>J77+J95+J98+J104+J101</f>
        <v>60429735.449999996</v>
      </c>
      <c r="K76" s="14">
        <f>K77+K95+K98+K104+K101</f>
        <v>16679712.01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7">
        <f t="shared" ref="I76:O79" si="42">O77</f>
        <v>0</v>
      </c>
      <c r="P76" s="48">
        <f>J76/I76*100</f>
        <v>78.119472939065986</v>
      </c>
      <c r="Q76" s="331"/>
      <c r="R76" s="331"/>
    </row>
    <row r="77" spans="1:50" s="19" customFormat="1" ht="37.5" x14ac:dyDescent="0.25">
      <c r="A77" s="40" t="s">
        <v>15</v>
      </c>
      <c r="B77" s="41" t="s">
        <v>9</v>
      </c>
      <c r="C77" s="41" t="s">
        <v>12</v>
      </c>
      <c r="D77" s="41" t="s">
        <v>14</v>
      </c>
      <c r="E77" s="41" t="s">
        <v>55</v>
      </c>
      <c r="F77" s="41"/>
      <c r="G77" s="41"/>
      <c r="H77" s="41"/>
      <c r="I77" s="17">
        <f>I78</f>
        <v>73540924.890000001</v>
      </c>
      <c r="J77" s="17">
        <f>J78</f>
        <v>58215492.119999997</v>
      </c>
      <c r="K77" s="17">
        <f t="shared" si="42"/>
        <v>15325432.77</v>
      </c>
      <c r="L77" s="17">
        <f t="shared" si="42"/>
        <v>0</v>
      </c>
      <c r="M77" s="17">
        <f t="shared" si="42"/>
        <v>0</v>
      </c>
      <c r="N77" s="17">
        <f t="shared" si="42"/>
        <v>0</v>
      </c>
      <c r="O77" s="17">
        <f t="shared" si="42"/>
        <v>0</v>
      </c>
      <c r="P77" s="21">
        <f t="shared" ref="P77:P106" si="43">J77/I77*100</f>
        <v>79.16067442322317</v>
      </c>
      <c r="Q77" s="346"/>
      <c r="R77" s="346"/>
    </row>
    <row r="78" spans="1:50" s="15" customFormat="1" ht="56.25" x14ac:dyDescent="0.25">
      <c r="A78" s="194" t="s">
        <v>17</v>
      </c>
      <c r="B78" s="27" t="s">
        <v>9</v>
      </c>
      <c r="C78" s="27" t="s">
        <v>12</v>
      </c>
      <c r="D78" s="27" t="s">
        <v>14</v>
      </c>
      <c r="E78" s="27" t="s">
        <v>55</v>
      </c>
      <c r="F78" s="27"/>
      <c r="G78" s="27"/>
      <c r="H78" s="27"/>
      <c r="I78" s="28">
        <f t="shared" si="42"/>
        <v>73540924.890000001</v>
      </c>
      <c r="J78" s="156">
        <f>J79</f>
        <v>58215492.119999997</v>
      </c>
      <c r="K78" s="44">
        <f t="shared" si="42"/>
        <v>15325432.77</v>
      </c>
      <c r="L78" s="24"/>
      <c r="M78" s="184"/>
      <c r="N78" s="185"/>
      <c r="O78" s="30">
        <f t="shared" ref="O78:O109" si="44">I78-J78-K78</f>
        <v>0</v>
      </c>
      <c r="P78" s="31">
        <f t="shared" si="43"/>
        <v>79.16067442322317</v>
      </c>
      <c r="Q78" s="331"/>
      <c r="R78" s="331"/>
      <c r="S78" s="1"/>
      <c r="T78" s="1"/>
      <c r="U78" s="1"/>
      <c r="V78" s="1"/>
      <c r="W78" s="1"/>
      <c r="X78" s="1"/>
      <c r="Y78" s="1"/>
    </row>
    <row r="79" spans="1:50" s="15" customFormat="1" ht="18.75" x14ac:dyDescent="0.25">
      <c r="A79" s="99" t="s">
        <v>19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20</v>
      </c>
      <c r="G79" s="22"/>
      <c r="H79" s="22"/>
      <c r="I79" s="28">
        <f t="shared" si="42"/>
        <v>73540924.890000001</v>
      </c>
      <c r="J79" s="156">
        <f t="shared" si="42"/>
        <v>58215492.119999997</v>
      </c>
      <c r="K79" s="44">
        <f t="shared" si="42"/>
        <v>15325432.77</v>
      </c>
      <c r="L79" s="38"/>
      <c r="M79" s="184"/>
      <c r="N79" s="185"/>
      <c r="O79" s="30">
        <f t="shared" si="44"/>
        <v>0</v>
      </c>
      <c r="P79" s="31">
        <f t="shared" si="43"/>
        <v>79.16067442322317</v>
      </c>
      <c r="Q79" s="331"/>
      <c r="R79" s="331"/>
      <c r="S79" s="1"/>
      <c r="T79" s="1"/>
      <c r="U79" s="1"/>
      <c r="V79" s="1"/>
      <c r="W79" s="1"/>
      <c r="X79" s="1"/>
      <c r="Y79" s="1"/>
    </row>
    <row r="80" spans="1:50" s="2" customFormat="1" ht="56.25" x14ac:dyDescent="0.25">
      <c r="A80" s="99" t="s">
        <v>21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/>
      <c r="H80" s="22"/>
      <c r="I80" s="28">
        <f t="shared" ref="I80:N80" si="45">I81+I91</f>
        <v>73540924.890000001</v>
      </c>
      <c r="J80" s="28">
        <f t="shared" si="45"/>
        <v>58215492.119999997</v>
      </c>
      <c r="K80" s="33">
        <f t="shared" si="45"/>
        <v>15325432.77</v>
      </c>
      <c r="L80" s="33" t="e">
        <f t="shared" si="45"/>
        <v>#REF!</v>
      </c>
      <c r="M80" s="33" t="e">
        <f t="shared" si="45"/>
        <v>#REF!</v>
      </c>
      <c r="N80" s="33" t="e">
        <f t="shared" si="45"/>
        <v>#REF!</v>
      </c>
      <c r="O80" s="30">
        <f t="shared" si="44"/>
        <v>0</v>
      </c>
      <c r="P80" s="31">
        <f t="shared" si="43"/>
        <v>79.16067442322317</v>
      </c>
      <c r="Q80" s="331"/>
      <c r="R80" s="33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8.75" x14ac:dyDescent="0.25">
      <c r="A81" s="99" t="s">
        <v>23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24</v>
      </c>
      <c r="H81" s="22"/>
      <c r="I81" s="28">
        <f>I82+I89+I88+I86</f>
        <v>70313524.890000001</v>
      </c>
      <c r="J81" s="28">
        <f>J82+J89+J88+J86</f>
        <v>55690826.659999996</v>
      </c>
      <c r="K81" s="33">
        <f>K82+K89+K88+K86</f>
        <v>14622698.229999999</v>
      </c>
      <c r="L81" s="33" t="e">
        <f>L82+L89+#REF!</f>
        <v>#REF!</v>
      </c>
      <c r="M81" s="33" t="e">
        <f>M82+M89+#REF!</f>
        <v>#REF!</v>
      </c>
      <c r="N81" s="33" t="e">
        <f>N82+N89+#REF!</f>
        <v>#REF!</v>
      </c>
      <c r="O81" s="30">
        <f t="shared" si="44"/>
        <v>0</v>
      </c>
      <c r="P81" s="31">
        <f t="shared" si="43"/>
        <v>79.203576761546131</v>
      </c>
      <c r="Q81" s="331"/>
      <c r="R81" s="331"/>
    </row>
    <row r="82" spans="1:50" ht="18.75" x14ac:dyDescent="0.25">
      <c r="A82" s="99" t="s">
        <v>25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26</v>
      </c>
      <c r="H82" s="22"/>
      <c r="I82" s="28">
        <f>I83+I84+I85</f>
        <v>69327524.890000001</v>
      </c>
      <c r="J82" s="28">
        <f t="shared" ref="J82:K82" si="46">J83+J84+J85</f>
        <v>54936249.68</v>
      </c>
      <c r="K82" s="33">
        <f t="shared" si="46"/>
        <v>14391275.209999999</v>
      </c>
      <c r="L82" s="33" t="e">
        <f>L83+#REF!+L84</f>
        <v>#REF!</v>
      </c>
      <c r="M82" s="33" t="e">
        <f>M83+#REF!+M84</f>
        <v>#REF!</v>
      </c>
      <c r="N82" s="33" t="e">
        <f>N83+#REF!+N84</f>
        <v>#REF!</v>
      </c>
      <c r="O82" s="30">
        <f t="shared" si="44"/>
        <v>0</v>
      </c>
      <c r="P82" s="31">
        <f t="shared" si="43"/>
        <v>79.241614015740183</v>
      </c>
      <c r="Q82" s="331"/>
      <c r="R82" s="331"/>
    </row>
    <row r="83" spans="1:50" ht="18.75" x14ac:dyDescent="0.25">
      <c r="A83" s="99" t="s">
        <v>27</v>
      </c>
      <c r="B83" s="22" t="s">
        <v>9</v>
      </c>
      <c r="C83" s="22" t="s">
        <v>12</v>
      </c>
      <c r="D83" s="22" t="s">
        <v>14</v>
      </c>
      <c r="E83" s="22" t="s">
        <v>55</v>
      </c>
      <c r="F83" s="22" t="s">
        <v>22</v>
      </c>
      <c r="G83" s="22" t="s">
        <v>28</v>
      </c>
      <c r="H83" s="22"/>
      <c r="I83" s="23">
        <f>53227407.75-50000</f>
        <v>53177407.75</v>
      </c>
      <c r="J83" s="23">
        <f>36358804.59+6829881.69</f>
        <v>43188686.280000001</v>
      </c>
      <c r="K83" s="23">
        <f>I83-J83</f>
        <v>9988721.4699999988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5">
        <f t="shared" si="44"/>
        <v>0</v>
      </c>
      <c r="P83" s="26">
        <f t="shared" si="43"/>
        <v>81.21623092844348</v>
      </c>
      <c r="Q83" s="331"/>
      <c r="R83" s="331"/>
    </row>
    <row r="84" spans="1:50" ht="18.75" x14ac:dyDescent="0.25">
      <c r="A84" s="175" t="s">
        <v>29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30</v>
      </c>
      <c r="H84" s="22"/>
      <c r="I84" s="23">
        <v>9000</v>
      </c>
      <c r="J84" s="23">
        <v>2200</v>
      </c>
      <c r="K84" s="23">
        <f t="shared" ref="K84" si="47">I84-J84</f>
        <v>6800</v>
      </c>
      <c r="L84" s="23" t="e">
        <f>#REF!+#REF!</f>
        <v>#REF!</v>
      </c>
      <c r="M84" s="23" t="e">
        <f>#REF!+#REF!</f>
        <v>#REF!</v>
      </c>
      <c r="N84" s="23" t="e">
        <f>#REF!+#REF!</f>
        <v>#REF!</v>
      </c>
      <c r="O84" s="25">
        <f t="shared" si="44"/>
        <v>0</v>
      </c>
      <c r="P84" s="26">
        <f t="shared" si="43"/>
        <v>24.444444444444443</v>
      </c>
      <c r="Q84" s="331"/>
      <c r="R84" s="331"/>
    </row>
    <row r="85" spans="1:50" ht="21.75" customHeight="1" x14ac:dyDescent="0.25">
      <c r="A85" s="175" t="s">
        <v>31</v>
      </c>
      <c r="B85" s="22" t="s">
        <v>9</v>
      </c>
      <c r="C85" s="22" t="s">
        <v>12</v>
      </c>
      <c r="D85" s="22" t="s">
        <v>14</v>
      </c>
      <c r="E85" s="22" t="s">
        <v>55</v>
      </c>
      <c r="F85" s="22" t="s">
        <v>22</v>
      </c>
      <c r="G85" s="22" t="s">
        <v>32</v>
      </c>
      <c r="H85" s="22"/>
      <c r="I85" s="23">
        <v>16141117.140000001</v>
      </c>
      <c r="J85" s="34">
        <v>11745363.4</v>
      </c>
      <c r="K85" s="23">
        <f>I85-J85</f>
        <v>4395753.74</v>
      </c>
      <c r="L85" s="24" t="e">
        <f>#REF!</f>
        <v>#REF!</v>
      </c>
      <c r="M85" s="182"/>
      <c r="N85" s="183"/>
      <c r="O85" s="25">
        <f t="shared" si="44"/>
        <v>0</v>
      </c>
      <c r="P85" s="26">
        <f t="shared" si="43"/>
        <v>72.766731683603908</v>
      </c>
      <c r="Q85" s="343"/>
      <c r="R85" s="343"/>
    </row>
    <row r="86" spans="1:50" ht="21.75" customHeight="1" x14ac:dyDescent="0.25">
      <c r="A86" s="179" t="s">
        <v>33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34</v>
      </c>
      <c r="H86" s="22"/>
      <c r="I86" s="33">
        <f>I87</f>
        <v>182000</v>
      </c>
      <c r="J86" s="44">
        <f>J87</f>
        <v>100024.4</v>
      </c>
      <c r="K86" s="33">
        <f t="shared" ref="K86:K87" si="48">I86-J86</f>
        <v>81975.600000000006</v>
      </c>
      <c r="L86" s="92"/>
      <c r="M86" s="184"/>
      <c r="N86" s="185"/>
      <c r="O86" s="30">
        <f t="shared" si="44"/>
        <v>0</v>
      </c>
      <c r="P86" s="31">
        <f t="shared" si="43"/>
        <v>54.958461538461535</v>
      </c>
      <c r="Q86" s="344"/>
      <c r="R86" s="345"/>
    </row>
    <row r="87" spans="1:50" ht="24" customHeight="1" x14ac:dyDescent="0.25">
      <c r="A87" s="99" t="s">
        <v>43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44</v>
      </c>
      <c r="H87" s="22"/>
      <c r="I87" s="23">
        <v>182000</v>
      </c>
      <c r="J87" s="34">
        <v>100024.4</v>
      </c>
      <c r="K87" s="23">
        <f t="shared" si="48"/>
        <v>81975.600000000006</v>
      </c>
      <c r="L87" s="24"/>
      <c r="M87" s="182"/>
      <c r="N87" s="183"/>
      <c r="O87" s="25">
        <f t="shared" si="44"/>
        <v>0</v>
      </c>
      <c r="P87" s="26">
        <f t="shared" si="43"/>
        <v>54.958461538461535</v>
      </c>
      <c r="Q87" s="344"/>
      <c r="R87" s="345"/>
    </row>
    <row r="88" spans="1:50" ht="42" customHeight="1" x14ac:dyDescent="0.25">
      <c r="A88" s="179" t="s">
        <v>93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94</v>
      </c>
      <c r="H88" s="27"/>
      <c r="I88" s="33">
        <v>270000</v>
      </c>
      <c r="J88" s="44">
        <v>261705.03</v>
      </c>
      <c r="K88" s="28">
        <f>I88-J88</f>
        <v>8294.9700000000012</v>
      </c>
      <c r="L88" s="94">
        <v>802458</v>
      </c>
      <c r="M88" s="184">
        <f>L88</f>
        <v>802458</v>
      </c>
      <c r="N88" s="185"/>
      <c r="O88" s="30">
        <f>I88-J88-K88</f>
        <v>0</v>
      </c>
      <c r="P88" s="31">
        <v>0</v>
      </c>
      <c r="Q88" s="344"/>
      <c r="R88" s="345"/>
    </row>
    <row r="89" spans="1:50" ht="18.75" x14ac:dyDescent="0.25">
      <c r="A89" s="179" t="s">
        <v>33</v>
      </c>
      <c r="B89" s="27" t="s">
        <v>9</v>
      </c>
      <c r="C89" s="27" t="s">
        <v>12</v>
      </c>
      <c r="D89" s="27" t="s">
        <v>14</v>
      </c>
      <c r="E89" s="27" t="s">
        <v>55</v>
      </c>
      <c r="F89" s="27" t="s">
        <v>22</v>
      </c>
      <c r="G89" s="27" t="s">
        <v>34</v>
      </c>
      <c r="H89" s="27"/>
      <c r="I89" s="33">
        <f>I90</f>
        <v>534000</v>
      </c>
      <c r="J89" s="33">
        <f t="shared" ref="J89:O89" si="49">J90</f>
        <v>392847.55000000005</v>
      </c>
      <c r="K89" s="28">
        <f t="shared" si="49"/>
        <v>141152.44999999995</v>
      </c>
      <c r="L89" s="28" t="e">
        <f t="shared" si="49"/>
        <v>#REF!</v>
      </c>
      <c r="M89" s="28" t="e">
        <f t="shared" si="49"/>
        <v>#REF!</v>
      </c>
      <c r="N89" s="28" t="e">
        <f t="shared" si="49"/>
        <v>#REF!</v>
      </c>
      <c r="O89" s="28">
        <f t="shared" si="49"/>
        <v>0</v>
      </c>
      <c r="P89" s="28">
        <f>P90</f>
        <v>73.566956928838962</v>
      </c>
      <c r="Q89" s="331"/>
      <c r="R89" s="331"/>
    </row>
    <row r="90" spans="1:50" ht="18.75" x14ac:dyDescent="0.25">
      <c r="A90" s="99" t="s">
        <v>43</v>
      </c>
      <c r="B90" s="22" t="s">
        <v>9</v>
      </c>
      <c r="C90" s="22" t="s">
        <v>12</v>
      </c>
      <c r="D90" s="22" t="s">
        <v>14</v>
      </c>
      <c r="E90" s="22" t="s">
        <v>55</v>
      </c>
      <c r="F90" s="22" t="s">
        <v>22</v>
      </c>
      <c r="G90" s="22" t="s">
        <v>44</v>
      </c>
      <c r="H90" s="22"/>
      <c r="I90" s="23">
        <f>716000-I87</f>
        <v>534000</v>
      </c>
      <c r="J90" s="23">
        <f>492871.95-J87</f>
        <v>392847.55000000005</v>
      </c>
      <c r="K90" s="35">
        <f>I90-J90</f>
        <v>141152.44999999995</v>
      </c>
      <c r="L90" s="35" t="e">
        <f>L88+#REF!+#REF!</f>
        <v>#REF!</v>
      </c>
      <c r="M90" s="35" t="e">
        <f>M88+#REF!+#REF!</f>
        <v>#REF!</v>
      </c>
      <c r="N90" s="35" t="e">
        <f>N88+#REF!+#REF!</f>
        <v>#REF!</v>
      </c>
      <c r="O90" s="153">
        <f t="shared" si="44"/>
        <v>0</v>
      </c>
      <c r="P90" s="154">
        <f t="shared" si="43"/>
        <v>73.566956928838962</v>
      </c>
      <c r="Q90" s="331"/>
      <c r="R90" s="331"/>
    </row>
    <row r="91" spans="1:50" s="2" customFormat="1" ht="18.75" x14ac:dyDescent="0.25">
      <c r="A91" s="194" t="s">
        <v>45</v>
      </c>
      <c r="B91" s="27" t="s">
        <v>9</v>
      </c>
      <c r="C91" s="27" t="s">
        <v>12</v>
      </c>
      <c r="D91" s="27" t="s">
        <v>14</v>
      </c>
      <c r="E91" s="27" t="s">
        <v>55</v>
      </c>
      <c r="F91" s="27" t="s">
        <v>22</v>
      </c>
      <c r="G91" s="27" t="s">
        <v>46</v>
      </c>
      <c r="H91" s="27"/>
      <c r="I91" s="33">
        <f>I92+I94+I93</f>
        <v>3227400</v>
      </c>
      <c r="J91" s="33">
        <f t="shared" ref="J91:O91" si="50">J92+J94+J93</f>
        <v>2524665.46</v>
      </c>
      <c r="K91" s="33">
        <f t="shared" si="50"/>
        <v>702734.54</v>
      </c>
      <c r="L91" s="33" t="e">
        <f t="shared" si="50"/>
        <v>#REF!</v>
      </c>
      <c r="M91" s="33">
        <f t="shared" si="50"/>
        <v>100</v>
      </c>
      <c r="N91" s="33">
        <f t="shared" si="50"/>
        <v>0</v>
      </c>
      <c r="O91" s="33">
        <f t="shared" si="50"/>
        <v>0</v>
      </c>
      <c r="P91" s="31">
        <f t="shared" si="43"/>
        <v>78.22598562310219</v>
      </c>
      <c r="Q91" s="341"/>
      <c r="R91" s="341"/>
      <c r="S91" s="15"/>
      <c r="T91" s="15"/>
      <c r="U91" s="15"/>
      <c r="V91" s="15"/>
      <c r="W91" s="15"/>
      <c r="X91" s="15"/>
      <c r="Y91" s="1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8.75" x14ac:dyDescent="0.25">
      <c r="A92" s="99" t="s">
        <v>47</v>
      </c>
      <c r="B92" s="22" t="s">
        <v>9</v>
      </c>
      <c r="C92" s="22" t="s">
        <v>12</v>
      </c>
      <c r="D92" s="22" t="s">
        <v>14</v>
      </c>
      <c r="E92" s="22" t="s">
        <v>55</v>
      </c>
      <c r="F92" s="22" t="s">
        <v>22</v>
      </c>
      <c r="G92" s="22" t="s">
        <v>48</v>
      </c>
      <c r="H92" s="22"/>
      <c r="I92" s="23">
        <f>2693400+304000</f>
        <v>2997400</v>
      </c>
      <c r="J92" s="23">
        <v>2401446.5</v>
      </c>
      <c r="K92" s="35">
        <f t="shared" ref="K92:K93" si="51">I92-J92</f>
        <v>595953.5</v>
      </c>
      <c r="L92" s="50" t="e">
        <f>L94+#REF!+#REF!+#REF!+#REF!</f>
        <v>#REF!</v>
      </c>
      <c r="M92" s="176"/>
      <c r="N92" s="177"/>
      <c r="O92" s="153">
        <f t="shared" si="44"/>
        <v>0</v>
      </c>
      <c r="P92" s="154">
        <f t="shared" si="43"/>
        <v>80.117651965036359</v>
      </c>
      <c r="Q92" s="341"/>
      <c r="R92" s="341"/>
    </row>
    <row r="93" spans="1:50" ht="37.5" x14ac:dyDescent="0.25">
      <c r="A93" s="175" t="s">
        <v>109</v>
      </c>
      <c r="B93" s="22" t="s">
        <v>9</v>
      </c>
      <c r="C93" s="22" t="s">
        <v>12</v>
      </c>
      <c r="D93" s="22" t="s">
        <v>14</v>
      </c>
      <c r="E93" s="22" t="s">
        <v>55</v>
      </c>
      <c r="F93" s="22" t="s">
        <v>22</v>
      </c>
      <c r="G93" s="22" t="s">
        <v>104</v>
      </c>
      <c r="H93" s="22"/>
      <c r="I93" s="23">
        <v>229160</v>
      </c>
      <c r="J93" s="34">
        <v>122378.96</v>
      </c>
      <c r="K93" s="35">
        <f t="shared" si="51"/>
        <v>106781.04</v>
      </c>
      <c r="L93" s="50" t="e">
        <f>#REF!</f>
        <v>#REF!</v>
      </c>
      <c r="M93" s="176"/>
      <c r="N93" s="177"/>
      <c r="O93" s="153">
        <f t="shared" si="44"/>
        <v>0</v>
      </c>
      <c r="P93" s="154">
        <f t="shared" si="43"/>
        <v>53.403281550008728</v>
      </c>
      <c r="Q93" s="382"/>
      <c r="R93" s="383"/>
    </row>
    <row r="94" spans="1:50" ht="37.5" x14ac:dyDescent="0.25">
      <c r="A94" s="268" t="s">
        <v>110</v>
      </c>
      <c r="B94" s="269" t="s">
        <v>9</v>
      </c>
      <c r="C94" s="22" t="s">
        <v>12</v>
      </c>
      <c r="D94" s="22" t="s">
        <v>14</v>
      </c>
      <c r="E94" s="22" t="s">
        <v>55</v>
      </c>
      <c r="F94" s="22" t="s">
        <v>22</v>
      </c>
      <c r="G94" s="269" t="s">
        <v>105</v>
      </c>
      <c r="H94" s="269"/>
      <c r="I94" s="270">
        <v>840</v>
      </c>
      <c r="J94" s="271">
        <v>840</v>
      </c>
      <c r="K94" s="272">
        <v>0</v>
      </c>
      <c r="L94" s="273">
        <v>0</v>
      </c>
      <c r="M94" s="274">
        <v>100</v>
      </c>
      <c r="N94" s="384"/>
      <c r="O94" s="385"/>
      <c r="P94" s="298"/>
      <c r="Q94" s="387"/>
      <c r="R94" s="387"/>
      <c r="S94" s="276"/>
      <c r="T94" s="276"/>
      <c r="U94" s="276"/>
      <c r="V94" s="276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</row>
    <row r="95" spans="1:50" s="2" customFormat="1" ht="118.5" customHeight="1" x14ac:dyDescent="0.25">
      <c r="A95" s="86" t="s">
        <v>130</v>
      </c>
      <c r="B95" s="41" t="s">
        <v>9</v>
      </c>
      <c r="C95" s="41" t="s">
        <v>12</v>
      </c>
      <c r="D95" s="41" t="s">
        <v>14</v>
      </c>
      <c r="E95" s="41" t="s">
        <v>57</v>
      </c>
      <c r="F95" s="41" t="s">
        <v>22</v>
      </c>
      <c r="G95" s="16"/>
      <c r="H95" s="16"/>
      <c r="I95" s="17">
        <f>I96+I97</f>
        <v>254011.41</v>
      </c>
      <c r="J95" s="17">
        <f t="shared" ref="J95:K95" si="52">J96+J97</f>
        <v>203146.93</v>
      </c>
      <c r="K95" s="17">
        <f t="shared" si="52"/>
        <v>50864.479999999996</v>
      </c>
      <c r="L95" s="42"/>
      <c r="M95" s="186"/>
      <c r="N95" s="187"/>
      <c r="O95" s="20">
        <f t="shared" si="44"/>
        <v>0</v>
      </c>
      <c r="P95" s="21">
        <f t="shared" si="43"/>
        <v>79.975513698380709</v>
      </c>
      <c r="Q95" s="331"/>
      <c r="R95" s="33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2" customFormat="1" ht="18.75" x14ac:dyDescent="0.25">
      <c r="A96" s="175" t="s">
        <v>27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43" t="s">
        <v>28</v>
      </c>
      <c r="H96" s="43"/>
      <c r="I96" s="23">
        <v>195093.25</v>
      </c>
      <c r="J96" s="34">
        <v>168467.54</v>
      </c>
      <c r="K96" s="35">
        <f t="shared" ref="K96:K97" si="53">I96-J96</f>
        <v>26625.709999999992</v>
      </c>
      <c r="L96" s="93"/>
      <c r="M96" s="188"/>
      <c r="N96" s="189"/>
      <c r="O96" s="25">
        <f t="shared" si="44"/>
        <v>0</v>
      </c>
      <c r="P96" s="26">
        <f t="shared" si="43"/>
        <v>86.352316136001633</v>
      </c>
      <c r="Q96" s="331"/>
      <c r="R96" s="33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s="15" customFormat="1" ht="18.75" x14ac:dyDescent="0.25">
      <c r="A97" s="99" t="s">
        <v>31</v>
      </c>
      <c r="B97" s="43" t="s">
        <v>9</v>
      </c>
      <c r="C97" s="43" t="s">
        <v>12</v>
      </c>
      <c r="D97" s="43" t="s">
        <v>14</v>
      </c>
      <c r="E97" s="43" t="s">
        <v>57</v>
      </c>
      <c r="F97" s="43" t="s">
        <v>22</v>
      </c>
      <c r="G97" s="103">
        <v>213</v>
      </c>
      <c r="H97" s="22"/>
      <c r="I97" s="23">
        <v>58918.16</v>
      </c>
      <c r="J97" s="34">
        <v>34679.39</v>
      </c>
      <c r="K97" s="35">
        <f t="shared" si="53"/>
        <v>24238.770000000004</v>
      </c>
      <c r="L97" s="93"/>
      <c r="M97" s="188"/>
      <c r="N97" s="189"/>
      <c r="O97" s="25">
        <f t="shared" si="44"/>
        <v>0</v>
      </c>
      <c r="P97" s="26">
        <f t="shared" si="43"/>
        <v>58.860273301134988</v>
      </c>
      <c r="Q97" s="331"/>
      <c r="R97" s="331"/>
    </row>
    <row r="98" spans="1:50" s="15" customFormat="1" ht="118.5" customHeight="1" x14ac:dyDescent="0.25">
      <c r="A98" s="86" t="s">
        <v>131</v>
      </c>
      <c r="B98" s="41" t="s">
        <v>9</v>
      </c>
      <c r="C98" s="41" t="s">
        <v>12</v>
      </c>
      <c r="D98" s="41" t="s">
        <v>14</v>
      </c>
      <c r="E98" s="41" t="s">
        <v>57</v>
      </c>
      <c r="F98" s="41" t="s">
        <v>22</v>
      </c>
      <c r="G98" s="16"/>
      <c r="H98" s="16"/>
      <c r="I98" s="17">
        <f>I99+I100</f>
        <v>1678661.9200000002</v>
      </c>
      <c r="J98" s="17">
        <f t="shared" ref="J98:K98" si="54">J99+J100</f>
        <v>1071133.6400000001</v>
      </c>
      <c r="K98" s="17">
        <f t="shared" si="54"/>
        <v>361441.74000000005</v>
      </c>
      <c r="L98" s="42"/>
      <c r="M98" s="186"/>
      <c r="N98" s="187"/>
      <c r="O98" s="20">
        <f t="shared" si="44"/>
        <v>246086.53999999998</v>
      </c>
      <c r="P98" s="21">
        <f t="shared" si="43"/>
        <v>63.808776933475684</v>
      </c>
      <c r="Q98" s="338"/>
      <c r="R98" s="339"/>
    </row>
    <row r="99" spans="1:50" s="15" customFormat="1" ht="18.75" x14ac:dyDescent="0.25">
      <c r="A99" s="175" t="s">
        <v>27</v>
      </c>
      <c r="B99" s="43" t="s">
        <v>9</v>
      </c>
      <c r="C99" s="43" t="s">
        <v>12</v>
      </c>
      <c r="D99" s="43" t="s">
        <v>14</v>
      </c>
      <c r="E99" s="43" t="s">
        <v>57</v>
      </c>
      <c r="F99" s="43" t="s">
        <v>22</v>
      </c>
      <c r="G99" s="43" t="s">
        <v>28</v>
      </c>
      <c r="H99" s="43"/>
      <c r="I99" s="23">
        <v>1289294.8700000001</v>
      </c>
      <c r="J99" s="34">
        <v>822683.29</v>
      </c>
      <c r="K99" s="35">
        <f>I99-J99-189006.56</f>
        <v>277605.02000000008</v>
      </c>
      <c r="L99" s="93"/>
      <c r="M99" s="188"/>
      <c r="N99" s="189"/>
      <c r="O99" s="25">
        <f t="shared" si="44"/>
        <v>189006.56</v>
      </c>
      <c r="P99" s="26">
        <f t="shared" si="43"/>
        <v>63.808777118612127</v>
      </c>
      <c r="Q99" s="338"/>
      <c r="R99" s="339"/>
    </row>
    <row r="100" spans="1:50" s="15" customFormat="1" ht="18.75" x14ac:dyDescent="0.25">
      <c r="A100" s="99" t="s">
        <v>31</v>
      </c>
      <c r="B100" s="43" t="s">
        <v>9</v>
      </c>
      <c r="C100" s="43" t="s">
        <v>12</v>
      </c>
      <c r="D100" s="43" t="s">
        <v>14</v>
      </c>
      <c r="E100" s="43" t="s">
        <v>57</v>
      </c>
      <c r="F100" s="43" t="s">
        <v>22</v>
      </c>
      <c r="G100" s="103">
        <v>213</v>
      </c>
      <c r="H100" s="22"/>
      <c r="I100" s="23">
        <v>389367.05</v>
      </c>
      <c r="J100" s="34">
        <v>248450.35</v>
      </c>
      <c r="K100" s="35">
        <f>I100-J100-57079.98</f>
        <v>83836.719999999972</v>
      </c>
      <c r="L100" s="93"/>
      <c r="M100" s="188"/>
      <c r="N100" s="189"/>
      <c r="O100" s="25">
        <f t="shared" si="44"/>
        <v>57079.98000000001</v>
      </c>
      <c r="P100" s="26">
        <f t="shared" si="43"/>
        <v>63.808776320441083</v>
      </c>
      <c r="Q100" s="338"/>
      <c r="R100" s="339"/>
    </row>
    <row r="101" spans="1:50" s="15" customFormat="1" ht="118.5" hidden="1" customHeight="1" x14ac:dyDescent="0.25">
      <c r="A101" s="86" t="s">
        <v>131</v>
      </c>
      <c r="B101" s="41" t="s">
        <v>9</v>
      </c>
      <c r="C101" s="41" t="s">
        <v>12</v>
      </c>
      <c r="D101" s="41" t="s">
        <v>14</v>
      </c>
      <c r="E101" s="41" t="s">
        <v>152</v>
      </c>
      <c r="F101" s="41" t="s">
        <v>22</v>
      </c>
      <c r="G101" s="16"/>
      <c r="H101" s="16"/>
      <c r="I101" s="17">
        <f>I102+I103</f>
        <v>0</v>
      </c>
      <c r="J101" s="17">
        <f t="shared" ref="J101:K101" si="55">J102+J103</f>
        <v>0</v>
      </c>
      <c r="K101" s="17">
        <f t="shared" si="55"/>
        <v>0</v>
      </c>
      <c r="L101" s="42"/>
      <c r="M101" s="186"/>
      <c r="N101" s="187"/>
      <c r="O101" s="20">
        <f t="shared" si="44"/>
        <v>0</v>
      </c>
      <c r="P101" s="21" t="e">
        <f t="shared" si="43"/>
        <v>#DIV/0!</v>
      </c>
      <c r="Q101" s="338"/>
      <c r="R101" s="339"/>
    </row>
    <row r="102" spans="1:50" s="15" customFormat="1" ht="18.75" hidden="1" x14ac:dyDescent="0.25">
      <c r="A102" s="175" t="s">
        <v>27</v>
      </c>
      <c r="B102" s="43" t="s">
        <v>9</v>
      </c>
      <c r="C102" s="43" t="s">
        <v>12</v>
      </c>
      <c r="D102" s="43" t="s">
        <v>14</v>
      </c>
      <c r="E102" s="43" t="s">
        <v>152</v>
      </c>
      <c r="F102" s="43" t="s">
        <v>22</v>
      </c>
      <c r="G102" s="43" t="s">
        <v>28</v>
      </c>
      <c r="H102" s="43"/>
      <c r="I102" s="121">
        <v>0</v>
      </c>
      <c r="J102" s="122">
        <v>0</v>
      </c>
      <c r="K102" s="35">
        <f>I102-J102</f>
        <v>0</v>
      </c>
      <c r="L102" s="93"/>
      <c r="M102" s="188"/>
      <c r="N102" s="189"/>
      <c r="O102" s="25">
        <f>I102-J102-K102</f>
        <v>0</v>
      </c>
      <c r="P102" s="26" t="e">
        <f t="shared" si="43"/>
        <v>#DIV/0!</v>
      </c>
      <c r="Q102" s="338"/>
      <c r="R102" s="339"/>
    </row>
    <row r="103" spans="1:50" s="15" customFormat="1" ht="18.75" hidden="1" x14ac:dyDescent="0.25">
      <c r="A103" s="99" t="s">
        <v>31</v>
      </c>
      <c r="B103" s="43" t="s">
        <v>9</v>
      </c>
      <c r="C103" s="43" t="s">
        <v>12</v>
      </c>
      <c r="D103" s="43" t="s">
        <v>14</v>
      </c>
      <c r="E103" s="43" t="s">
        <v>152</v>
      </c>
      <c r="F103" s="43" t="s">
        <v>22</v>
      </c>
      <c r="G103" s="103">
        <v>213</v>
      </c>
      <c r="H103" s="22"/>
      <c r="I103" s="121">
        <v>0</v>
      </c>
      <c r="J103" s="122">
        <v>0</v>
      </c>
      <c r="K103" s="35">
        <f t="shared" ref="K103" si="56">I103-J103</f>
        <v>0</v>
      </c>
      <c r="L103" s="93"/>
      <c r="M103" s="188"/>
      <c r="N103" s="189"/>
      <c r="O103" s="25">
        <f t="shared" si="44"/>
        <v>0</v>
      </c>
      <c r="P103" s="26" t="e">
        <f t="shared" si="43"/>
        <v>#DIV/0!</v>
      </c>
      <c r="Q103" s="338"/>
      <c r="R103" s="339"/>
    </row>
    <row r="104" spans="1:50" s="2" customFormat="1" ht="62.25" customHeight="1" x14ac:dyDescent="0.25">
      <c r="A104" s="190" t="s">
        <v>58</v>
      </c>
      <c r="B104" s="41" t="s">
        <v>9</v>
      </c>
      <c r="C104" s="41" t="s">
        <v>12</v>
      </c>
      <c r="D104" s="41" t="s">
        <v>14</v>
      </c>
      <c r="E104" s="41" t="s">
        <v>59</v>
      </c>
      <c r="F104" s="41" t="s">
        <v>22</v>
      </c>
      <c r="G104" s="41"/>
      <c r="H104" s="41"/>
      <c r="I104" s="17">
        <f>I106+I105</f>
        <v>1881935.78</v>
      </c>
      <c r="J104" s="17">
        <f>J106+J105</f>
        <v>939962.76</v>
      </c>
      <c r="K104" s="17">
        <f>K106+K105</f>
        <v>941973.02</v>
      </c>
      <c r="L104" s="18"/>
      <c r="M104" s="195"/>
      <c r="N104" s="196"/>
      <c r="O104" s="20">
        <f t="shared" si="44"/>
        <v>0</v>
      </c>
      <c r="P104" s="21">
        <f t="shared" si="43"/>
        <v>49.946590632332843</v>
      </c>
      <c r="Q104" s="331"/>
      <c r="R104" s="33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39" customHeight="1" x14ac:dyDescent="0.25">
      <c r="A105" s="175" t="s">
        <v>167</v>
      </c>
      <c r="B105" s="22" t="s">
        <v>9</v>
      </c>
      <c r="C105" s="22" t="s">
        <v>12</v>
      </c>
      <c r="D105" s="22" t="s">
        <v>14</v>
      </c>
      <c r="E105" s="22" t="s">
        <v>59</v>
      </c>
      <c r="F105" s="22" t="s">
        <v>22</v>
      </c>
      <c r="G105" s="22" t="s">
        <v>146</v>
      </c>
      <c r="H105" s="22"/>
      <c r="I105" s="23">
        <v>249335.78</v>
      </c>
      <c r="J105" s="34">
        <v>95654.080000000002</v>
      </c>
      <c r="K105" s="34">
        <f>I105-J105</f>
        <v>153681.70000000001</v>
      </c>
      <c r="L105" s="24"/>
      <c r="M105" s="182"/>
      <c r="N105" s="183"/>
      <c r="O105" s="25"/>
      <c r="P105" s="26"/>
      <c r="Q105" s="331"/>
      <c r="R105" s="331"/>
    </row>
    <row r="106" spans="1:50" ht="18.75" x14ac:dyDescent="0.25">
      <c r="A106" s="99" t="s">
        <v>113</v>
      </c>
      <c r="B106" s="22" t="s">
        <v>9</v>
      </c>
      <c r="C106" s="22" t="s">
        <v>12</v>
      </c>
      <c r="D106" s="22" t="s">
        <v>14</v>
      </c>
      <c r="E106" s="22" t="s">
        <v>59</v>
      </c>
      <c r="F106" s="22" t="s">
        <v>22</v>
      </c>
      <c r="G106" s="22" t="s">
        <v>114</v>
      </c>
      <c r="H106" s="22"/>
      <c r="I106" s="23">
        <v>1632600</v>
      </c>
      <c r="J106" s="34">
        <v>844308.68</v>
      </c>
      <c r="K106" s="34">
        <f>I106-J106</f>
        <v>788291.32</v>
      </c>
      <c r="L106" s="93" t="e">
        <f>#REF!</f>
        <v>#REF!</v>
      </c>
      <c r="M106" s="188"/>
      <c r="N106" s="189"/>
      <c r="O106" s="25">
        <f t="shared" si="44"/>
        <v>0</v>
      </c>
      <c r="P106" s="26">
        <f t="shared" si="43"/>
        <v>51.715587406590714</v>
      </c>
      <c r="Q106" s="331"/>
      <c r="R106" s="331"/>
    </row>
    <row r="107" spans="1:50" s="15" customFormat="1" ht="117.75" customHeight="1" x14ac:dyDescent="0.25">
      <c r="A107" s="190" t="s">
        <v>73</v>
      </c>
      <c r="B107" s="41" t="s">
        <v>9</v>
      </c>
      <c r="C107" s="41" t="s">
        <v>12</v>
      </c>
      <c r="D107" s="41" t="s">
        <v>12</v>
      </c>
      <c r="E107" s="41" t="s">
        <v>74</v>
      </c>
      <c r="F107" s="41"/>
      <c r="G107" s="41"/>
      <c r="H107" s="41"/>
      <c r="I107" s="17">
        <f>I109+I108</f>
        <v>383076</v>
      </c>
      <c r="J107" s="17">
        <f t="shared" ref="J107:K107" si="57">J109+J108</f>
        <v>383076</v>
      </c>
      <c r="K107" s="17">
        <f t="shared" si="57"/>
        <v>0</v>
      </c>
      <c r="L107" s="18" t="e">
        <f>L109</f>
        <v>#REF!</v>
      </c>
      <c r="M107" s="186"/>
      <c r="N107" s="187"/>
      <c r="O107" s="20">
        <f>I107-J107-K107</f>
        <v>0</v>
      </c>
      <c r="P107" s="21">
        <f>J107/I107*100</f>
        <v>100</v>
      </c>
      <c r="Q107" s="331"/>
      <c r="R107" s="331"/>
      <c r="Z107" s="1"/>
      <c r="AA107" s="1"/>
      <c r="AB107" s="1"/>
      <c r="AC107" s="1"/>
      <c r="AD107" s="1"/>
    </row>
    <row r="108" spans="1:50" s="15" customFormat="1" ht="18.75" x14ac:dyDescent="0.25">
      <c r="A108" s="99" t="s">
        <v>43</v>
      </c>
      <c r="B108" s="22" t="s">
        <v>9</v>
      </c>
      <c r="C108" s="22" t="s">
        <v>12</v>
      </c>
      <c r="D108" s="22" t="s">
        <v>12</v>
      </c>
      <c r="E108" s="22" t="s">
        <v>74</v>
      </c>
      <c r="F108" s="22" t="s">
        <v>22</v>
      </c>
      <c r="G108" s="22" t="s">
        <v>44</v>
      </c>
      <c r="H108" s="27"/>
      <c r="I108" s="23">
        <v>216000</v>
      </c>
      <c r="J108" s="23">
        <v>216000</v>
      </c>
      <c r="K108" s="34">
        <f>I108-J108</f>
        <v>0</v>
      </c>
      <c r="L108" s="24"/>
      <c r="M108" s="182"/>
      <c r="N108" s="183"/>
      <c r="O108" s="30">
        <f t="shared" si="44"/>
        <v>0</v>
      </c>
      <c r="P108" s="31">
        <f>J108/I108*100</f>
        <v>100</v>
      </c>
      <c r="Q108" s="338"/>
      <c r="R108" s="339"/>
      <c r="Z108" s="1"/>
      <c r="AA108" s="1"/>
      <c r="AB108" s="1"/>
      <c r="AC108" s="1"/>
      <c r="AD108" s="1"/>
    </row>
    <row r="109" spans="1:50" ht="18.75" x14ac:dyDescent="0.25">
      <c r="A109" s="99" t="s">
        <v>113</v>
      </c>
      <c r="B109" s="22" t="s">
        <v>9</v>
      </c>
      <c r="C109" s="22" t="s">
        <v>12</v>
      </c>
      <c r="D109" s="22" t="s">
        <v>12</v>
      </c>
      <c r="E109" s="22" t="s">
        <v>74</v>
      </c>
      <c r="F109" s="22" t="s">
        <v>22</v>
      </c>
      <c r="G109" s="22" t="s">
        <v>114</v>
      </c>
      <c r="H109" s="22"/>
      <c r="I109" s="23">
        <v>167076</v>
      </c>
      <c r="J109" s="23">
        <v>167076</v>
      </c>
      <c r="K109" s="34">
        <f>I109-J109</f>
        <v>0</v>
      </c>
      <c r="L109" s="24" t="e">
        <f>#REF!</f>
        <v>#REF!</v>
      </c>
      <c r="M109" s="182"/>
      <c r="N109" s="183"/>
      <c r="O109" s="25">
        <f t="shared" si="44"/>
        <v>0</v>
      </c>
      <c r="P109" s="26">
        <f>J109/I109*100</f>
        <v>100</v>
      </c>
      <c r="Q109" s="331"/>
      <c r="R109" s="331"/>
    </row>
    <row r="110" spans="1:50" s="2" customFormat="1" ht="19.5" customHeight="1" x14ac:dyDescent="0.3">
      <c r="A110" s="333" t="s">
        <v>60</v>
      </c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5"/>
      <c r="Q110" s="340"/>
      <c r="R110" s="340"/>
    </row>
    <row r="111" spans="1:50" ht="78" x14ac:dyDescent="0.25">
      <c r="A111" s="51" t="s">
        <v>8</v>
      </c>
      <c r="B111" s="52" t="s">
        <v>9</v>
      </c>
      <c r="C111" s="52"/>
      <c r="D111" s="52"/>
      <c r="E111" s="52"/>
      <c r="F111" s="52"/>
      <c r="G111" s="52"/>
      <c r="H111" s="52"/>
      <c r="I111" s="53">
        <f>I112+I126+I133+I138+I136+I143+I147+I150+I145</f>
        <v>781959.98</v>
      </c>
      <c r="J111" s="53">
        <f>J112+J126+J133+J138+J136+J150+J143+J147+J145</f>
        <v>556746.88</v>
      </c>
      <c r="K111" s="53">
        <f>K112+K126+K133+K138+K136+K143+K147+K150+K145</f>
        <v>225213.09999999998</v>
      </c>
      <c r="L111" s="53" t="e">
        <f t="shared" ref="L111:N111" si="58">L112+L126</f>
        <v>#REF!</v>
      </c>
      <c r="M111" s="53" t="e">
        <f t="shared" si="58"/>
        <v>#REF!</v>
      </c>
      <c r="N111" s="53" t="e">
        <f t="shared" si="58"/>
        <v>#REF!</v>
      </c>
      <c r="O111" s="53">
        <f>I111-J111-K111</f>
        <v>0</v>
      </c>
      <c r="P111" s="54">
        <f t="shared" ref="P111:P126" si="59">J111/I111*100</f>
        <v>71.198896905184327</v>
      </c>
      <c r="Q111" s="331"/>
      <c r="R111" s="331"/>
    </row>
    <row r="112" spans="1:50" ht="19.5" x14ac:dyDescent="0.25">
      <c r="A112" s="173" t="s">
        <v>11</v>
      </c>
      <c r="B112" s="8" t="s">
        <v>9</v>
      </c>
      <c r="C112" s="8" t="s">
        <v>12</v>
      </c>
      <c r="D112" s="8"/>
      <c r="E112" s="8"/>
      <c r="F112" s="8"/>
      <c r="G112" s="8"/>
      <c r="H112" s="8"/>
      <c r="I112" s="9">
        <f>I113+I117+I120+I123+I115+I152</f>
        <v>537217.12</v>
      </c>
      <c r="J112" s="9">
        <f>J113+J117+J120+J123+J115+J152</f>
        <v>365250.3</v>
      </c>
      <c r="K112" s="9">
        <f>K113+K117+K120+K123+K115+K152</f>
        <v>171966.81999999998</v>
      </c>
      <c r="L112" s="10" t="e">
        <f>L113+#REF!</f>
        <v>#REF!</v>
      </c>
      <c r="M112" s="197"/>
      <c r="N112" s="198"/>
      <c r="O112" s="11">
        <f>I112-J112-K112</f>
        <v>0</v>
      </c>
      <c r="P112" s="12">
        <f t="shared" si="59"/>
        <v>67.989326177840354</v>
      </c>
      <c r="Q112" s="331"/>
      <c r="R112" s="331"/>
    </row>
    <row r="113" spans="1:50" ht="120.75" customHeight="1" x14ac:dyDescent="0.25">
      <c r="A113" s="190" t="s">
        <v>61</v>
      </c>
      <c r="B113" s="41" t="s">
        <v>9</v>
      </c>
      <c r="C113" s="41" t="s">
        <v>12</v>
      </c>
      <c r="D113" s="41" t="s">
        <v>14</v>
      </c>
      <c r="E113" s="41" t="s">
        <v>62</v>
      </c>
      <c r="F113" s="41"/>
      <c r="G113" s="41"/>
      <c r="H113" s="41"/>
      <c r="I113" s="17">
        <f>I114</f>
        <v>13261.15</v>
      </c>
      <c r="J113" s="17">
        <f t="shared" ref="J113:L115" si="60">J114</f>
        <v>8890.15</v>
      </c>
      <c r="K113" s="17">
        <f t="shared" si="60"/>
        <v>4371</v>
      </c>
      <c r="L113" s="18" t="e">
        <f t="shared" si="60"/>
        <v>#REF!</v>
      </c>
      <c r="M113" s="186"/>
      <c r="N113" s="187"/>
      <c r="O113" s="20">
        <f>I113-J113-K113</f>
        <v>0</v>
      </c>
      <c r="P113" s="21">
        <f t="shared" si="59"/>
        <v>67.039057698615878</v>
      </c>
      <c r="Q113" s="331"/>
      <c r="R113" s="331"/>
      <c r="S113" s="15"/>
    </row>
    <row r="114" spans="1:50" ht="23.25" customHeight="1" x14ac:dyDescent="0.25">
      <c r="A114" s="99" t="s">
        <v>113</v>
      </c>
      <c r="B114" s="22" t="s">
        <v>9</v>
      </c>
      <c r="C114" s="22" t="s">
        <v>12</v>
      </c>
      <c r="D114" s="22" t="s">
        <v>14</v>
      </c>
      <c r="E114" s="43" t="s">
        <v>62</v>
      </c>
      <c r="F114" s="22" t="s">
        <v>63</v>
      </c>
      <c r="G114" s="22" t="s">
        <v>114</v>
      </c>
      <c r="H114" s="22"/>
      <c r="I114" s="23">
        <v>13261.15</v>
      </c>
      <c r="J114" s="34">
        <v>8890.15</v>
      </c>
      <c r="K114" s="34">
        <f>I114-J114</f>
        <v>4371</v>
      </c>
      <c r="L114" s="24" t="e">
        <f>#REF!</f>
        <v>#REF!</v>
      </c>
      <c r="M114" s="184"/>
      <c r="N114" s="185"/>
      <c r="O114" s="25">
        <f>I114-K114-J114</f>
        <v>0</v>
      </c>
      <c r="P114" s="26">
        <f t="shared" si="59"/>
        <v>67.039057698615878</v>
      </c>
      <c r="Q114" s="331"/>
      <c r="R114" s="331"/>
      <c r="Z114" s="15"/>
      <c r="AA114" s="15"/>
      <c r="AB114" s="15"/>
      <c r="AC114" s="15"/>
      <c r="AD114" s="15"/>
    </row>
    <row r="115" spans="1:50" ht="106.5" customHeight="1" x14ac:dyDescent="0.25">
      <c r="A115" s="190" t="s">
        <v>141</v>
      </c>
      <c r="B115" s="41" t="s">
        <v>9</v>
      </c>
      <c r="C115" s="41" t="s">
        <v>12</v>
      </c>
      <c r="D115" s="41" t="s">
        <v>14</v>
      </c>
      <c r="E115" s="41" t="s">
        <v>136</v>
      </c>
      <c r="F115" s="41"/>
      <c r="G115" s="41"/>
      <c r="H115" s="41"/>
      <c r="I115" s="17">
        <f>I116</f>
        <v>355955.97</v>
      </c>
      <c r="J115" s="17">
        <f t="shared" si="60"/>
        <v>218360.15</v>
      </c>
      <c r="K115" s="17">
        <f t="shared" si="60"/>
        <v>137595.81999999998</v>
      </c>
      <c r="L115" s="18" t="e">
        <f t="shared" si="60"/>
        <v>#REF!</v>
      </c>
      <c r="M115" s="186"/>
      <c r="N115" s="187"/>
      <c r="O115" s="20">
        <f>I115-J115-K115</f>
        <v>0</v>
      </c>
      <c r="P115" s="21">
        <f t="shared" si="59"/>
        <v>61.344707886202897</v>
      </c>
      <c r="Q115" s="331"/>
      <c r="R115" s="331"/>
      <c r="Z115" s="15"/>
      <c r="AA115" s="15"/>
      <c r="AB115" s="15"/>
      <c r="AC115" s="15"/>
      <c r="AD115" s="15"/>
    </row>
    <row r="116" spans="1:50" ht="23.25" customHeight="1" x14ac:dyDescent="0.25">
      <c r="A116" s="99" t="s">
        <v>113</v>
      </c>
      <c r="B116" s="22" t="s">
        <v>9</v>
      </c>
      <c r="C116" s="22" t="s">
        <v>12</v>
      </c>
      <c r="D116" s="22" t="s">
        <v>14</v>
      </c>
      <c r="E116" s="43" t="s">
        <v>136</v>
      </c>
      <c r="F116" s="22" t="s">
        <v>63</v>
      </c>
      <c r="G116" s="22" t="s">
        <v>114</v>
      </c>
      <c r="H116" s="22"/>
      <c r="I116" s="23">
        <v>355955.97</v>
      </c>
      <c r="J116" s="34">
        <v>218360.15</v>
      </c>
      <c r="K116" s="34">
        <f>I116-J116</f>
        <v>137595.81999999998</v>
      </c>
      <c r="L116" s="24" t="e">
        <f>#REF!</f>
        <v>#REF!</v>
      </c>
      <c r="M116" s="184"/>
      <c r="N116" s="185"/>
      <c r="O116" s="25">
        <f>I116-K116-J116</f>
        <v>0</v>
      </c>
      <c r="P116" s="26">
        <f t="shared" si="59"/>
        <v>61.344707886202897</v>
      </c>
      <c r="Q116" s="331"/>
      <c r="R116" s="331"/>
      <c r="Z116" s="15"/>
      <c r="AA116" s="15"/>
      <c r="AB116" s="15"/>
      <c r="AC116" s="15"/>
      <c r="AD116" s="15"/>
    </row>
    <row r="117" spans="1:50" s="2" customFormat="1" ht="80.25" customHeight="1" x14ac:dyDescent="0.25">
      <c r="A117" s="190" t="s">
        <v>117</v>
      </c>
      <c r="B117" s="41" t="s">
        <v>9</v>
      </c>
      <c r="C117" s="41" t="s">
        <v>12</v>
      </c>
      <c r="D117" s="41" t="s">
        <v>12</v>
      </c>
      <c r="E117" s="41" t="s">
        <v>90</v>
      </c>
      <c r="F117" s="41"/>
      <c r="G117" s="16"/>
      <c r="H117" s="16"/>
      <c r="I117" s="17">
        <f>I118+I119</f>
        <v>65000</v>
      </c>
      <c r="J117" s="17">
        <f t="shared" ref="J117:K117" si="61">J118+J119</f>
        <v>50000</v>
      </c>
      <c r="K117" s="17">
        <f t="shared" si="61"/>
        <v>15000</v>
      </c>
      <c r="L117" s="69"/>
      <c r="M117" s="186"/>
      <c r="N117" s="187"/>
      <c r="O117" s="20">
        <v>0</v>
      </c>
      <c r="P117" s="21">
        <f t="shared" si="59"/>
        <v>76.923076923076934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39.75" customHeight="1" x14ac:dyDescent="0.25">
      <c r="A118" s="175" t="s">
        <v>109</v>
      </c>
      <c r="B118" s="22" t="s">
        <v>9</v>
      </c>
      <c r="C118" s="22" t="s">
        <v>12</v>
      </c>
      <c r="D118" s="22" t="s">
        <v>12</v>
      </c>
      <c r="E118" s="43" t="s">
        <v>90</v>
      </c>
      <c r="F118" s="22" t="s">
        <v>63</v>
      </c>
      <c r="G118" s="22" t="s">
        <v>104</v>
      </c>
      <c r="H118" s="22"/>
      <c r="I118" s="23">
        <v>22000</v>
      </c>
      <c r="J118" s="34">
        <v>25560</v>
      </c>
      <c r="K118" s="35">
        <f>I118-J118</f>
        <v>-3560</v>
      </c>
      <c r="L118" s="57"/>
      <c r="M118" s="188"/>
      <c r="N118" s="189"/>
      <c r="O118" s="25">
        <f>O119</f>
        <v>0</v>
      </c>
      <c r="P118" s="26">
        <f t="shared" si="59"/>
        <v>116.18181818181819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75" t="s">
        <v>110</v>
      </c>
      <c r="B119" s="22" t="s">
        <v>9</v>
      </c>
      <c r="C119" s="22" t="s">
        <v>12</v>
      </c>
      <c r="D119" s="22" t="s">
        <v>12</v>
      </c>
      <c r="E119" s="43" t="s">
        <v>90</v>
      </c>
      <c r="F119" s="22" t="s">
        <v>63</v>
      </c>
      <c r="G119" s="22" t="s">
        <v>105</v>
      </c>
      <c r="H119" s="22"/>
      <c r="I119" s="23">
        <v>43000</v>
      </c>
      <c r="J119" s="34">
        <v>24440</v>
      </c>
      <c r="K119" s="35">
        <f>I119-J119</f>
        <v>18560</v>
      </c>
      <c r="L119" s="49"/>
      <c r="M119" s="188"/>
      <c r="N119" s="189"/>
      <c r="O119" s="25">
        <f>I119-J119-K119</f>
        <v>0</v>
      </c>
      <c r="P119" s="26">
        <f t="shared" si="59"/>
        <v>56.83720930232559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91.5" customHeight="1" x14ac:dyDescent="0.25">
      <c r="A120" s="190" t="s">
        <v>118</v>
      </c>
      <c r="B120" s="41" t="s">
        <v>9</v>
      </c>
      <c r="C120" s="41" t="s">
        <v>12</v>
      </c>
      <c r="D120" s="41" t="s">
        <v>12</v>
      </c>
      <c r="E120" s="16" t="s">
        <v>115</v>
      </c>
      <c r="F120" s="41"/>
      <c r="G120" s="16"/>
      <c r="H120" s="16"/>
      <c r="I120" s="17">
        <f>I121+I122</f>
        <v>13000</v>
      </c>
      <c r="J120" s="17">
        <f t="shared" ref="J120:K120" si="62">J121+J122</f>
        <v>8000</v>
      </c>
      <c r="K120" s="17">
        <f t="shared" si="62"/>
        <v>5000</v>
      </c>
      <c r="L120" s="69"/>
      <c r="M120" s="186"/>
      <c r="N120" s="187"/>
      <c r="O120" s="20">
        <v>0</v>
      </c>
      <c r="P120" s="21">
        <f t="shared" si="59"/>
        <v>61.53846153846154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39.75" customHeight="1" x14ac:dyDescent="0.25">
      <c r="A121" s="175" t="s">
        <v>109</v>
      </c>
      <c r="B121" s="22" t="s">
        <v>9</v>
      </c>
      <c r="C121" s="22" t="s">
        <v>12</v>
      </c>
      <c r="D121" s="22" t="s">
        <v>12</v>
      </c>
      <c r="E121" s="43" t="s">
        <v>115</v>
      </c>
      <c r="F121" s="22" t="s">
        <v>63</v>
      </c>
      <c r="G121" s="22" t="s">
        <v>104</v>
      </c>
      <c r="H121" s="22"/>
      <c r="I121" s="23">
        <v>7000</v>
      </c>
      <c r="J121" s="34">
        <v>2000</v>
      </c>
      <c r="K121" s="35">
        <f>I121-J121</f>
        <v>5000</v>
      </c>
      <c r="L121" s="57"/>
      <c r="M121" s="188"/>
      <c r="N121" s="189"/>
      <c r="O121" s="25">
        <f>O122</f>
        <v>0</v>
      </c>
      <c r="P121" s="26">
        <f t="shared" si="59"/>
        <v>28.571428571428569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40.5" customHeight="1" x14ac:dyDescent="0.25">
      <c r="A122" s="175" t="s">
        <v>110</v>
      </c>
      <c r="B122" s="22" t="s">
        <v>9</v>
      </c>
      <c r="C122" s="22" t="s">
        <v>12</v>
      </c>
      <c r="D122" s="22" t="s">
        <v>12</v>
      </c>
      <c r="E122" s="43" t="s">
        <v>115</v>
      </c>
      <c r="F122" s="22" t="s">
        <v>63</v>
      </c>
      <c r="G122" s="22" t="s">
        <v>105</v>
      </c>
      <c r="H122" s="22"/>
      <c r="I122" s="23">
        <v>6000</v>
      </c>
      <c r="J122" s="34">
        <v>6000</v>
      </c>
      <c r="K122" s="35">
        <f>I122-J122</f>
        <v>0</v>
      </c>
      <c r="L122" s="49"/>
      <c r="M122" s="188"/>
      <c r="N122" s="189"/>
      <c r="O122" s="25">
        <f>I122-J122-K122</f>
        <v>0</v>
      </c>
      <c r="P122" s="26">
        <f t="shared" si="59"/>
        <v>100</v>
      </c>
      <c r="Q122" s="331"/>
      <c r="R122" s="331"/>
      <c r="S122" s="1"/>
      <c r="T122" s="15"/>
      <c r="U122" s="15"/>
      <c r="V122" s="15"/>
      <c r="W122" s="15"/>
      <c r="X122" s="15"/>
      <c r="Y122" s="1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88.5" customHeight="1" x14ac:dyDescent="0.25">
      <c r="A123" s="190" t="s">
        <v>119</v>
      </c>
      <c r="B123" s="41" t="s">
        <v>9</v>
      </c>
      <c r="C123" s="41" t="s">
        <v>12</v>
      </c>
      <c r="D123" s="41" t="s">
        <v>85</v>
      </c>
      <c r="E123" s="16" t="s">
        <v>116</v>
      </c>
      <c r="F123" s="41"/>
      <c r="G123" s="16"/>
      <c r="H123" s="16"/>
      <c r="I123" s="17">
        <f>I124+I125</f>
        <v>27000</v>
      </c>
      <c r="J123" s="17">
        <f t="shared" ref="J123:K123" si="63">J124+J125</f>
        <v>17000</v>
      </c>
      <c r="K123" s="17">
        <f t="shared" si="63"/>
        <v>10000</v>
      </c>
      <c r="L123" s="69"/>
      <c r="M123" s="186"/>
      <c r="N123" s="187"/>
      <c r="O123" s="20">
        <v>0</v>
      </c>
      <c r="P123" s="21">
        <f t="shared" si="59"/>
        <v>62.962962962962962</v>
      </c>
      <c r="Q123" s="331"/>
      <c r="R123" s="331"/>
      <c r="S123" s="1"/>
      <c r="T123" s="15"/>
      <c r="U123" s="15"/>
      <c r="V123" s="15"/>
      <c r="W123" s="15"/>
      <c r="X123" s="15"/>
      <c r="Y123" s="1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39.75" customHeight="1" x14ac:dyDescent="0.25">
      <c r="A124" s="175" t="s">
        <v>109</v>
      </c>
      <c r="B124" s="22" t="s">
        <v>9</v>
      </c>
      <c r="C124" s="22" t="s">
        <v>12</v>
      </c>
      <c r="D124" s="22" t="s">
        <v>85</v>
      </c>
      <c r="E124" s="43" t="s">
        <v>116</v>
      </c>
      <c r="F124" s="22" t="s">
        <v>63</v>
      </c>
      <c r="G124" s="22" t="s">
        <v>104</v>
      </c>
      <c r="H124" s="22"/>
      <c r="I124" s="23">
        <v>7000</v>
      </c>
      <c r="J124" s="34">
        <v>3000</v>
      </c>
      <c r="K124" s="35">
        <f>I124-J124</f>
        <v>4000</v>
      </c>
      <c r="L124" s="57"/>
      <c r="M124" s="188"/>
      <c r="N124" s="189"/>
      <c r="O124" s="25">
        <f>O125</f>
        <v>0</v>
      </c>
      <c r="P124" s="26">
        <f t="shared" si="59"/>
        <v>42.857142857142854</v>
      </c>
      <c r="Q124" s="331"/>
      <c r="R124" s="331"/>
      <c r="S124" s="1"/>
      <c r="T124" s="15"/>
      <c r="U124" s="15"/>
      <c r="V124" s="15"/>
      <c r="W124" s="15"/>
      <c r="X124" s="15"/>
      <c r="Y124" s="1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40.5" customHeight="1" x14ac:dyDescent="0.25">
      <c r="A125" s="175" t="s">
        <v>110</v>
      </c>
      <c r="B125" s="22" t="s">
        <v>9</v>
      </c>
      <c r="C125" s="22" t="s">
        <v>12</v>
      </c>
      <c r="D125" s="22" t="s">
        <v>85</v>
      </c>
      <c r="E125" s="43" t="s">
        <v>116</v>
      </c>
      <c r="F125" s="22" t="s">
        <v>63</v>
      </c>
      <c r="G125" s="22" t="s">
        <v>105</v>
      </c>
      <c r="H125" s="22"/>
      <c r="I125" s="23">
        <v>20000</v>
      </c>
      <c r="J125" s="34">
        <v>14000</v>
      </c>
      <c r="K125" s="35">
        <f>I125-J125</f>
        <v>6000</v>
      </c>
      <c r="L125" s="49"/>
      <c r="M125" s="188"/>
      <c r="N125" s="189"/>
      <c r="O125" s="25">
        <f>I125-J125-K125</f>
        <v>0</v>
      </c>
      <c r="P125" s="26">
        <f t="shared" si="59"/>
        <v>70</v>
      </c>
      <c r="Q125" s="331"/>
      <c r="R125" s="331"/>
      <c r="S125" s="1"/>
      <c r="T125" s="15"/>
      <c r="U125" s="15"/>
      <c r="V125" s="15"/>
      <c r="W125" s="15"/>
      <c r="X125" s="15"/>
      <c r="Y125" s="1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59.25" customHeight="1" x14ac:dyDescent="0.25">
      <c r="A126" s="86" t="s">
        <v>67</v>
      </c>
      <c r="B126" s="41" t="s">
        <v>9</v>
      </c>
      <c r="C126" s="41" t="s">
        <v>68</v>
      </c>
      <c r="D126" s="41" t="s">
        <v>69</v>
      </c>
      <c r="E126" s="41" t="s">
        <v>70</v>
      </c>
      <c r="F126" s="41"/>
      <c r="G126" s="41"/>
      <c r="H126" s="41"/>
      <c r="I126" s="17">
        <f>I127+I129+I131+I132+I128+I130</f>
        <v>85000</v>
      </c>
      <c r="J126" s="17">
        <f>J127+J129+J131+J132+J128+J130</f>
        <v>49523</v>
      </c>
      <c r="K126" s="17">
        <f>K127+K129+K131+K132+K128+K130</f>
        <v>35477</v>
      </c>
      <c r="L126" s="17" t="e">
        <f>L127+#REF!+#REF!</f>
        <v>#REF!</v>
      </c>
      <c r="M126" s="17" t="e">
        <f>M127+#REF!+#REF!</f>
        <v>#REF!</v>
      </c>
      <c r="N126" s="17" t="e">
        <f>N127+#REF!+#REF!</f>
        <v>#REF!</v>
      </c>
      <c r="O126" s="89">
        <f>I126-J126-K126</f>
        <v>0</v>
      </c>
      <c r="P126" s="21">
        <f t="shared" si="59"/>
        <v>58.262352941176466</v>
      </c>
      <c r="Q126" s="331"/>
      <c r="R126" s="33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18.75" x14ac:dyDescent="0.25">
      <c r="A127" s="175" t="s">
        <v>43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44</v>
      </c>
      <c r="H127" s="22"/>
      <c r="I127" s="23">
        <f>32600+18500</f>
        <v>51100</v>
      </c>
      <c r="J127" s="23">
        <v>32000</v>
      </c>
      <c r="K127" s="23">
        <f>I127-J127</f>
        <v>19100</v>
      </c>
      <c r="L127" s="93"/>
      <c r="M127" s="188"/>
      <c r="N127" s="189"/>
      <c r="O127" s="25">
        <f>I127-J127-K127</f>
        <v>0</v>
      </c>
      <c r="P127" s="26">
        <f>J127/I127*100</f>
        <v>62.62230919765166</v>
      </c>
      <c r="Q127" s="331"/>
      <c r="R127" s="331"/>
      <c r="S127" s="15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18.75" x14ac:dyDescent="0.25">
      <c r="A128" s="175" t="s">
        <v>123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124</v>
      </c>
      <c r="H128" s="22"/>
      <c r="I128" s="23">
        <v>7500</v>
      </c>
      <c r="J128" s="34">
        <v>4900</v>
      </c>
      <c r="K128" s="23">
        <f t="shared" ref="K128:K132" si="64">I128-J128</f>
        <v>2600</v>
      </c>
      <c r="L128" s="93"/>
      <c r="M128" s="188"/>
      <c r="N128" s="189"/>
      <c r="O128" s="25">
        <f t="shared" ref="O128:O140" si="65">I128-J128-K128</f>
        <v>0</v>
      </c>
      <c r="P128" s="26">
        <f>J128/I128*100</f>
        <v>65.333333333333329</v>
      </c>
      <c r="Q128" s="338"/>
      <c r="R128" s="339"/>
      <c r="S128" s="15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37.5" x14ac:dyDescent="0.25">
      <c r="A129" s="175" t="s">
        <v>106</v>
      </c>
      <c r="B129" s="22" t="s">
        <v>9</v>
      </c>
      <c r="C129" s="22" t="s">
        <v>68</v>
      </c>
      <c r="D129" s="22" t="s">
        <v>69</v>
      </c>
      <c r="E129" s="22" t="s">
        <v>70</v>
      </c>
      <c r="F129" s="22" t="s">
        <v>63</v>
      </c>
      <c r="G129" s="22" t="s">
        <v>101</v>
      </c>
      <c r="H129" s="22"/>
      <c r="I129" s="23">
        <f>2500+1500</f>
        <v>4000</v>
      </c>
      <c r="J129" s="34">
        <v>4000</v>
      </c>
      <c r="K129" s="23">
        <f t="shared" si="64"/>
        <v>0</v>
      </c>
      <c r="L129" s="93"/>
      <c r="M129" s="188"/>
      <c r="N129" s="189"/>
      <c r="O129" s="25">
        <f t="shared" si="65"/>
        <v>0</v>
      </c>
      <c r="P129" s="26">
        <v>0</v>
      </c>
      <c r="Q129" s="331"/>
      <c r="R129" s="33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18.75" x14ac:dyDescent="0.25">
      <c r="A130" s="175" t="s">
        <v>108</v>
      </c>
      <c r="B130" s="22" t="s">
        <v>9</v>
      </c>
      <c r="C130" s="22" t="s">
        <v>68</v>
      </c>
      <c r="D130" s="22" t="s">
        <v>69</v>
      </c>
      <c r="E130" s="22" t="s">
        <v>70</v>
      </c>
      <c r="F130" s="22" t="s">
        <v>63</v>
      </c>
      <c r="G130" s="22" t="s">
        <v>103</v>
      </c>
      <c r="H130" s="22"/>
      <c r="I130" s="23">
        <v>0</v>
      </c>
      <c r="J130" s="34">
        <v>0</v>
      </c>
      <c r="K130" s="23">
        <f t="shared" si="64"/>
        <v>0</v>
      </c>
      <c r="L130" s="93"/>
      <c r="M130" s="188"/>
      <c r="N130" s="189"/>
      <c r="O130" s="25">
        <f t="shared" si="65"/>
        <v>0</v>
      </c>
      <c r="P130" s="26"/>
      <c r="Q130" s="338"/>
      <c r="R130" s="339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37.5" customHeight="1" x14ac:dyDescent="0.25">
      <c r="A131" s="175" t="s">
        <v>109</v>
      </c>
      <c r="B131" s="22" t="s">
        <v>9</v>
      </c>
      <c r="C131" s="22" t="s">
        <v>68</v>
      </c>
      <c r="D131" s="22" t="s">
        <v>69</v>
      </c>
      <c r="E131" s="22" t="s">
        <v>70</v>
      </c>
      <c r="F131" s="22" t="s">
        <v>63</v>
      </c>
      <c r="G131" s="22" t="s">
        <v>104</v>
      </c>
      <c r="H131" s="22"/>
      <c r="I131" s="23">
        <v>12400</v>
      </c>
      <c r="J131" s="34">
        <v>871</v>
      </c>
      <c r="K131" s="23">
        <f t="shared" si="64"/>
        <v>11529</v>
      </c>
      <c r="L131" s="93"/>
      <c r="M131" s="188"/>
      <c r="N131" s="189"/>
      <c r="O131" s="25">
        <f t="shared" si="65"/>
        <v>0</v>
      </c>
      <c r="P131" s="26">
        <v>0</v>
      </c>
      <c r="Q131" s="331"/>
      <c r="R131" s="3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37.5" x14ac:dyDescent="0.25">
      <c r="A132" s="175" t="s">
        <v>110</v>
      </c>
      <c r="B132" s="22" t="s">
        <v>9</v>
      </c>
      <c r="C132" s="22" t="s">
        <v>68</v>
      </c>
      <c r="D132" s="22" t="s">
        <v>69</v>
      </c>
      <c r="E132" s="22" t="s">
        <v>70</v>
      </c>
      <c r="F132" s="22" t="s">
        <v>63</v>
      </c>
      <c r="G132" s="22" t="s">
        <v>105</v>
      </c>
      <c r="H132" s="22"/>
      <c r="I132" s="23">
        <v>10000</v>
      </c>
      <c r="J132" s="34">
        <v>7752</v>
      </c>
      <c r="K132" s="23">
        <f t="shared" si="64"/>
        <v>2248</v>
      </c>
      <c r="L132" s="93"/>
      <c r="M132" s="188"/>
      <c r="N132" s="189"/>
      <c r="O132" s="25">
        <f t="shared" si="65"/>
        <v>0</v>
      </c>
      <c r="P132" s="26">
        <f t="shared" ref="P132:P153" si="66">J132/I132*100</f>
        <v>77.52</v>
      </c>
      <c r="Q132" s="331"/>
      <c r="R132" s="33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82.5" hidden="1" customHeight="1" x14ac:dyDescent="0.25">
      <c r="A133" s="190" t="s">
        <v>125</v>
      </c>
      <c r="B133" s="41" t="s">
        <v>9</v>
      </c>
      <c r="C133" s="41" t="s">
        <v>12</v>
      </c>
      <c r="D133" s="41" t="s">
        <v>12</v>
      </c>
      <c r="E133" s="41" t="s">
        <v>126</v>
      </c>
      <c r="F133" s="41"/>
      <c r="G133" s="16"/>
      <c r="H133" s="16"/>
      <c r="I133" s="17">
        <f>I134+I135</f>
        <v>0</v>
      </c>
      <c r="J133" s="17">
        <f t="shared" ref="J133:K133" si="67">J134+J135</f>
        <v>0</v>
      </c>
      <c r="K133" s="17">
        <f t="shared" si="67"/>
        <v>0</v>
      </c>
      <c r="L133" s="69"/>
      <c r="M133" s="186"/>
      <c r="N133" s="187"/>
      <c r="O133" s="20">
        <f t="shared" si="65"/>
        <v>0</v>
      </c>
      <c r="P133" s="21" t="e">
        <f t="shared" si="66"/>
        <v>#DIV/0!</v>
      </c>
      <c r="Q133" s="321"/>
      <c r="R133" s="32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18.75" hidden="1" x14ac:dyDescent="0.25">
      <c r="A134" s="175" t="s">
        <v>27</v>
      </c>
      <c r="B134" s="22" t="s">
        <v>9</v>
      </c>
      <c r="C134" s="22" t="s">
        <v>12</v>
      </c>
      <c r="D134" s="22" t="s">
        <v>12</v>
      </c>
      <c r="E134" s="43" t="s">
        <v>126</v>
      </c>
      <c r="F134" s="22" t="s">
        <v>63</v>
      </c>
      <c r="G134" s="22" t="s">
        <v>28</v>
      </c>
      <c r="H134" s="22"/>
      <c r="I134" s="121">
        <v>0</v>
      </c>
      <c r="J134" s="122">
        <v>0</v>
      </c>
      <c r="K134" s="35">
        <f>I134-J134</f>
        <v>0</v>
      </c>
      <c r="L134" s="57"/>
      <c r="M134" s="188"/>
      <c r="N134" s="189"/>
      <c r="O134" s="25">
        <f t="shared" si="65"/>
        <v>0</v>
      </c>
      <c r="P134" s="26" t="e">
        <f t="shared" si="66"/>
        <v>#DIV/0!</v>
      </c>
      <c r="Q134" s="325"/>
      <c r="R134" s="326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18.75" hidden="1" x14ac:dyDescent="0.25">
      <c r="A135" s="99" t="s">
        <v>31</v>
      </c>
      <c r="B135" s="22" t="s">
        <v>9</v>
      </c>
      <c r="C135" s="22" t="s">
        <v>12</v>
      </c>
      <c r="D135" s="22" t="s">
        <v>12</v>
      </c>
      <c r="E135" s="43" t="s">
        <v>126</v>
      </c>
      <c r="F135" s="22" t="s">
        <v>63</v>
      </c>
      <c r="G135" s="22" t="s">
        <v>32</v>
      </c>
      <c r="H135" s="22"/>
      <c r="I135" s="121">
        <v>0</v>
      </c>
      <c r="J135" s="122">
        <v>0</v>
      </c>
      <c r="K135" s="35">
        <f>I135-J135</f>
        <v>0</v>
      </c>
      <c r="L135" s="49"/>
      <c r="M135" s="188"/>
      <c r="N135" s="189"/>
      <c r="O135" s="25">
        <f t="shared" si="65"/>
        <v>0</v>
      </c>
      <c r="P135" s="26" t="e">
        <f t="shared" si="66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65.25" customHeight="1" x14ac:dyDescent="0.25">
      <c r="A136" s="199" t="s">
        <v>142</v>
      </c>
      <c r="B136" s="104" t="s">
        <v>9</v>
      </c>
      <c r="C136" s="104" t="s">
        <v>68</v>
      </c>
      <c r="D136" s="104" t="s">
        <v>14</v>
      </c>
      <c r="E136" s="104" t="s">
        <v>137</v>
      </c>
      <c r="F136" s="104"/>
      <c r="G136" s="105"/>
      <c r="H136" s="105"/>
      <c r="I136" s="17">
        <f>I137</f>
        <v>20000</v>
      </c>
      <c r="J136" s="17">
        <f t="shared" ref="J136:K136" si="68">J137</f>
        <v>9298</v>
      </c>
      <c r="K136" s="17">
        <f t="shared" si="68"/>
        <v>10702</v>
      </c>
      <c r="L136" s="115"/>
      <c r="M136" s="195"/>
      <c r="N136" s="196"/>
      <c r="O136" s="20">
        <f>I136-J136-K136</f>
        <v>0</v>
      </c>
      <c r="P136" s="21">
        <f t="shared" si="66"/>
        <v>46.489999999999995</v>
      </c>
      <c r="Q136" s="321"/>
      <c r="R136" s="32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49.5" customHeight="1" x14ac:dyDescent="0.25">
      <c r="A137" s="175" t="s">
        <v>109</v>
      </c>
      <c r="B137" s="112" t="s">
        <v>9</v>
      </c>
      <c r="C137" s="112" t="s">
        <v>68</v>
      </c>
      <c r="D137" s="112" t="s">
        <v>14</v>
      </c>
      <c r="E137" s="113" t="s">
        <v>137</v>
      </c>
      <c r="F137" s="112" t="s">
        <v>63</v>
      </c>
      <c r="G137" s="112" t="s">
        <v>104</v>
      </c>
      <c r="H137" s="112"/>
      <c r="I137" s="23">
        <v>20000</v>
      </c>
      <c r="J137" s="34">
        <v>9298</v>
      </c>
      <c r="K137" s="35">
        <f t="shared" ref="K137:K139" si="69">I137-J137</f>
        <v>10702</v>
      </c>
      <c r="L137" s="114"/>
      <c r="M137" s="188"/>
      <c r="N137" s="189"/>
      <c r="O137" s="25">
        <f t="shared" si="65"/>
        <v>0</v>
      </c>
      <c r="P137" s="26">
        <f t="shared" si="66"/>
        <v>46.489999999999995</v>
      </c>
      <c r="Q137" s="323"/>
      <c r="R137" s="3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60" hidden="1" customHeight="1" x14ac:dyDescent="0.25">
      <c r="A138" s="199" t="s">
        <v>143</v>
      </c>
      <c r="B138" s="104" t="s">
        <v>9</v>
      </c>
      <c r="C138" s="104" t="s">
        <v>12</v>
      </c>
      <c r="D138" s="104" t="s">
        <v>14</v>
      </c>
      <c r="E138" s="104" t="s">
        <v>138</v>
      </c>
      <c r="F138" s="104"/>
      <c r="G138" s="104"/>
      <c r="H138" s="104"/>
      <c r="I138" s="106">
        <f>I139</f>
        <v>0</v>
      </c>
      <c r="J138" s="106">
        <f t="shared" ref="J138:K138" si="70">J139</f>
        <v>0</v>
      </c>
      <c r="K138" s="106">
        <f t="shared" si="70"/>
        <v>0</v>
      </c>
      <c r="L138" s="115"/>
      <c r="M138" s="195"/>
      <c r="N138" s="196"/>
      <c r="O138" s="20">
        <f>I138-J138-K138</f>
        <v>0</v>
      </c>
      <c r="P138" s="21" t="e">
        <f t="shared" si="66"/>
        <v>#DIV/0!</v>
      </c>
      <c r="Q138" s="321"/>
      <c r="R138" s="32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27.75" hidden="1" customHeight="1" x14ac:dyDescent="0.25">
      <c r="A139" s="99" t="s">
        <v>47</v>
      </c>
      <c r="B139" s="112" t="s">
        <v>9</v>
      </c>
      <c r="C139" s="112" t="s">
        <v>12</v>
      </c>
      <c r="D139" s="112" t="s">
        <v>14</v>
      </c>
      <c r="E139" s="113" t="s">
        <v>138</v>
      </c>
      <c r="F139" s="112" t="s">
        <v>63</v>
      </c>
      <c r="G139" s="112" t="s">
        <v>48</v>
      </c>
      <c r="H139" s="112"/>
      <c r="I139" s="118">
        <v>0</v>
      </c>
      <c r="J139" s="158">
        <v>0</v>
      </c>
      <c r="K139" s="118">
        <f t="shared" si="69"/>
        <v>0</v>
      </c>
      <c r="L139" s="114"/>
      <c r="M139" s="188"/>
      <c r="N139" s="189"/>
      <c r="O139" s="119">
        <f t="shared" si="65"/>
        <v>0</v>
      </c>
      <c r="P139" s="120" t="e">
        <f t="shared" si="66"/>
        <v>#DIV/0!</v>
      </c>
      <c r="Q139" s="323"/>
      <c r="R139" s="32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82.5" hidden="1" customHeight="1" x14ac:dyDescent="0.25">
      <c r="A140" s="190" t="s">
        <v>127</v>
      </c>
      <c r="B140" s="104" t="s">
        <v>9</v>
      </c>
      <c r="C140" s="104" t="s">
        <v>12</v>
      </c>
      <c r="D140" s="104" t="s">
        <v>85</v>
      </c>
      <c r="E140" s="104" t="s">
        <v>86</v>
      </c>
      <c r="F140" s="104"/>
      <c r="G140" s="105"/>
      <c r="H140" s="105"/>
      <c r="I140" s="106">
        <f>I141+I142</f>
        <v>0</v>
      </c>
      <c r="J140" s="106">
        <f>J141+J142</f>
        <v>0</v>
      </c>
      <c r="K140" s="106">
        <f>K141+K142</f>
        <v>0</v>
      </c>
      <c r="L140" s="106">
        <f t="shared" ref="L140:N140" si="71">L141</f>
        <v>0</v>
      </c>
      <c r="M140" s="106">
        <f t="shared" si="71"/>
        <v>0</v>
      </c>
      <c r="N140" s="106">
        <f t="shared" si="71"/>
        <v>0</v>
      </c>
      <c r="O140" s="107">
        <f t="shared" si="65"/>
        <v>0</v>
      </c>
      <c r="P140" s="108" t="e">
        <f t="shared" si="66"/>
        <v>#DIV/0!</v>
      </c>
      <c r="Q140" s="321"/>
      <c r="R140" s="32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" customFormat="1" ht="18.75" hidden="1" x14ac:dyDescent="0.25">
      <c r="A141" s="175" t="s">
        <v>41</v>
      </c>
      <c r="B141" s="22" t="s">
        <v>9</v>
      </c>
      <c r="C141" s="22" t="s">
        <v>12</v>
      </c>
      <c r="D141" s="22" t="s">
        <v>85</v>
      </c>
      <c r="E141" s="22" t="s">
        <v>86</v>
      </c>
      <c r="F141" s="22" t="s">
        <v>63</v>
      </c>
      <c r="G141" s="22" t="s">
        <v>42</v>
      </c>
      <c r="H141" s="22"/>
      <c r="I141" s="121"/>
      <c r="J141" s="121"/>
      <c r="K141" s="23">
        <f>I141-J141</f>
        <v>0</v>
      </c>
      <c r="L141" s="109"/>
      <c r="M141" s="110"/>
      <c r="N141" s="111"/>
      <c r="O141" s="25">
        <f>I141-J141-K141</f>
        <v>0</v>
      </c>
      <c r="P141" s="26" t="e">
        <f t="shared" si="66"/>
        <v>#DIV/0!</v>
      </c>
      <c r="Q141" s="323"/>
      <c r="R141" s="32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" customFormat="1" ht="18.75" hidden="1" x14ac:dyDescent="0.25">
      <c r="A142" s="99" t="s">
        <v>47</v>
      </c>
      <c r="B142" s="22" t="s">
        <v>9</v>
      </c>
      <c r="C142" s="22" t="s">
        <v>12</v>
      </c>
      <c r="D142" s="22" t="s">
        <v>85</v>
      </c>
      <c r="E142" s="22" t="s">
        <v>86</v>
      </c>
      <c r="F142" s="22" t="s">
        <v>63</v>
      </c>
      <c r="G142" s="22" t="s">
        <v>48</v>
      </c>
      <c r="H142" s="22"/>
      <c r="I142" s="121"/>
      <c r="J142" s="121">
        <v>0</v>
      </c>
      <c r="K142" s="23">
        <f>I142-J142</f>
        <v>0</v>
      </c>
      <c r="L142" s="109"/>
      <c r="M142" s="110"/>
      <c r="N142" s="111"/>
      <c r="O142" s="25">
        <f t="shared" ref="O142" si="72">I142-J142-K142</f>
        <v>0</v>
      </c>
      <c r="P142" s="26" t="e">
        <f t="shared" si="66"/>
        <v>#DIV/0!</v>
      </c>
      <c r="Q142" s="283"/>
      <c r="R142" s="28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" customFormat="1" ht="60" hidden="1" customHeight="1" x14ac:dyDescent="0.25">
      <c r="A143" s="40" t="s">
        <v>139</v>
      </c>
      <c r="B143" s="104" t="s">
        <v>9</v>
      </c>
      <c r="C143" s="104" t="s">
        <v>12</v>
      </c>
      <c r="D143" s="104" t="s">
        <v>14</v>
      </c>
      <c r="E143" s="104" t="s">
        <v>135</v>
      </c>
      <c r="F143" s="104"/>
      <c r="G143" s="104"/>
      <c r="H143" s="104"/>
      <c r="I143" s="106">
        <f>I144</f>
        <v>0</v>
      </c>
      <c r="J143" s="106">
        <f t="shared" ref="J143:K143" si="73">J144</f>
        <v>0</v>
      </c>
      <c r="K143" s="106">
        <f t="shared" si="73"/>
        <v>0</v>
      </c>
      <c r="L143" s="115"/>
      <c r="M143" s="195"/>
      <c r="N143" s="196"/>
      <c r="O143" s="20">
        <f>I143-J143-K143</f>
        <v>0</v>
      </c>
      <c r="P143" s="21" t="e">
        <f t="shared" si="66"/>
        <v>#DIV/0!</v>
      </c>
      <c r="Q143" s="321"/>
      <c r="R143" s="3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10.5" hidden="1" customHeight="1" x14ac:dyDescent="0.25">
      <c r="A144" s="99" t="s">
        <v>47</v>
      </c>
      <c r="B144" s="112" t="s">
        <v>9</v>
      </c>
      <c r="C144" s="112" t="s">
        <v>12</v>
      </c>
      <c r="D144" s="112" t="s">
        <v>14</v>
      </c>
      <c r="E144" s="105" t="s">
        <v>144</v>
      </c>
      <c r="F144" s="112" t="s">
        <v>63</v>
      </c>
      <c r="G144" s="112" t="s">
        <v>48</v>
      </c>
      <c r="H144" s="112"/>
      <c r="I144" s="123">
        <v>0</v>
      </c>
      <c r="J144" s="124">
        <v>0</v>
      </c>
      <c r="K144" s="118">
        <f t="shared" ref="K144" si="74">I144-J144</f>
        <v>0</v>
      </c>
      <c r="L144" s="114"/>
      <c r="M144" s="188"/>
      <c r="N144" s="189"/>
      <c r="O144" s="119">
        <f t="shared" ref="O144:O146" si="75">I144-J144-K144</f>
        <v>0</v>
      </c>
      <c r="P144" s="120" t="e">
        <f t="shared" si="66"/>
        <v>#DIV/0!</v>
      </c>
      <c r="Q144" s="323"/>
      <c r="R144" s="32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16.25" customHeight="1" x14ac:dyDescent="0.25">
      <c r="A145" s="190" t="s">
        <v>154</v>
      </c>
      <c r="B145" s="41" t="s">
        <v>9</v>
      </c>
      <c r="C145" s="41" t="s">
        <v>12</v>
      </c>
      <c r="D145" s="41" t="s">
        <v>14</v>
      </c>
      <c r="E145" s="41" t="s">
        <v>155</v>
      </c>
      <c r="F145" s="41"/>
      <c r="G145" s="41"/>
      <c r="H145" s="41"/>
      <c r="I145" s="17">
        <f>I146</f>
        <v>9742.86</v>
      </c>
      <c r="J145" s="55">
        <f>J146</f>
        <v>2675.58</v>
      </c>
      <c r="K145" s="55">
        <f>I145-J145</f>
        <v>7067.2800000000007</v>
      </c>
      <c r="L145" s="18" t="e">
        <f>L146</f>
        <v>#REF!</v>
      </c>
      <c r="M145" s="186"/>
      <c r="N145" s="187"/>
      <c r="O145" s="20">
        <f t="shared" si="75"/>
        <v>0</v>
      </c>
      <c r="P145" s="21">
        <f>J145/I145*100</f>
        <v>27.461956756024406</v>
      </c>
      <c r="Q145" s="331"/>
      <c r="R145" s="331"/>
      <c r="S145" s="15"/>
    </row>
    <row r="146" spans="1:50" ht="18.75" x14ac:dyDescent="0.25">
      <c r="A146" s="99" t="s">
        <v>113</v>
      </c>
      <c r="B146" s="22" t="s">
        <v>9</v>
      </c>
      <c r="C146" s="22" t="s">
        <v>12</v>
      </c>
      <c r="D146" s="22" t="s">
        <v>14</v>
      </c>
      <c r="E146" s="22" t="s">
        <v>155</v>
      </c>
      <c r="F146" s="22" t="s">
        <v>63</v>
      </c>
      <c r="G146" s="22" t="s">
        <v>114</v>
      </c>
      <c r="H146" s="22"/>
      <c r="I146" s="23">
        <v>9742.86</v>
      </c>
      <c r="J146" s="34">
        <v>2675.58</v>
      </c>
      <c r="K146" s="34">
        <f>I146-J146</f>
        <v>7067.2800000000007</v>
      </c>
      <c r="L146" s="24" t="e">
        <f>#REF!</f>
        <v>#REF!</v>
      </c>
      <c r="M146" s="184"/>
      <c r="N146" s="185"/>
      <c r="O146" s="25">
        <f t="shared" si="75"/>
        <v>0</v>
      </c>
      <c r="P146" s="26">
        <f>J146/I146*100</f>
        <v>27.461956756024406</v>
      </c>
      <c r="Q146" s="331"/>
      <c r="R146" s="331"/>
      <c r="Z146" s="15"/>
      <c r="AA146" s="15"/>
      <c r="AB146" s="15"/>
      <c r="AC146" s="15"/>
      <c r="AD146" s="15"/>
    </row>
    <row r="147" spans="1:50" s="2" customFormat="1" ht="60" customHeight="1" x14ac:dyDescent="0.25">
      <c r="A147" s="199" t="s">
        <v>145</v>
      </c>
      <c r="B147" s="104" t="s">
        <v>9</v>
      </c>
      <c r="C147" s="104" t="s">
        <v>12</v>
      </c>
      <c r="D147" s="104" t="s">
        <v>12</v>
      </c>
      <c r="E147" s="104" t="s">
        <v>126</v>
      </c>
      <c r="F147" s="104"/>
      <c r="G147" s="104"/>
      <c r="H147" s="104"/>
      <c r="I147" s="106">
        <f>I148+I149</f>
        <v>130000</v>
      </c>
      <c r="J147" s="106">
        <f>J149+J148</f>
        <v>130000</v>
      </c>
      <c r="K147" s="106">
        <f>K149+K148</f>
        <v>0</v>
      </c>
      <c r="L147" s="115"/>
      <c r="M147" s="195"/>
      <c r="N147" s="196"/>
      <c r="O147" s="20">
        <f>I147-J147-K147</f>
        <v>0</v>
      </c>
      <c r="P147" s="21">
        <f t="shared" si="66"/>
        <v>100</v>
      </c>
      <c r="Q147" s="321"/>
      <c r="R147" s="32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3" customHeight="1" x14ac:dyDescent="0.25">
      <c r="A148" s="194" t="s">
        <v>27</v>
      </c>
      <c r="B148" s="112" t="s">
        <v>9</v>
      </c>
      <c r="C148" s="112" t="s">
        <v>12</v>
      </c>
      <c r="D148" s="112" t="s">
        <v>12</v>
      </c>
      <c r="E148" s="112" t="s">
        <v>126</v>
      </c>
      <c r="F148" s="112" t="s">
        <v>63</v>
      </c>
      <c r="G148" s="112" t="s">
        <v>28</v>
      </c>
      <c r="H148" s="129"/>
      <c r="I148" s="116">
        <v>99846.39</v>
      </c>
      <c r="J148" s="117">
        <v>99846.39</v>
      </c>
      <c r="K148" s="116">
        <f>I148-J148</f>
        <v>0</v>
      </c>
      <c r="L148" s="131"/>
      <c r="M148" s="184"/>
      <c r="N148" s="185"/>
      <c r="O148" s="119">
        <f t="shared" ref="O148:O149" si="76">I148-J148-K148</f>
        <v>0</v>
      </c>
      <c r="P148" s="120">
        <f t="shared" si="66"/>
        <v>100</v>
      </c>
      <c r="Q148" s="325"/>
      <c r="R148" s="326"/>
    </row>
    <row r="149" spans="1:50" s="2" customFormat="1" ht="27.75" customHeight="1" x14ac:dyDescent="0.25">
      <c r="A149" s="175" t="s">
        <v>31</v>
      </c>
      <c r="B149" s="112" t="s">
        <v>9</v>
      </c>
      <c r="C149" s="112" t="s">
        <v>12</v>
      </c>
      <c r="D149" s="112" t="s">
        <v>12</v>
      </c>
      <c r="E149" s="112" t="s">
        <v>126</v>
      </c>
      <c r="F149" s="112" t="s">
        <v>63</v>
      </c>
      <c r="G149" s="112" t="s">
        <v>32</v>
      </c>
      <c r="H149" s="112"/>
      <c r="I149" s="116">
        <v>30153.61</v>
      </c>
      <c r="J149" s="117">
        <v>30153.61</v>
      </c>
      <c r="K149" s="116">
        <f>I149-J149</f>
        <v>0</v>
      </c>
      <c r="L149" s="131"/>
      <c r="M149" s="182"/>
      <c r="N149" s="183"/>
      <c r="O149" s="119">
        <f t="shared" si="76"/>
        <v>0</v>
      </c>
      <c r="P149" s="120">
        <f t="shared" si="66"/>
        <v>100</v>
      </c>
      <c r="Q149" s="323"/>
      <c r="R149" s="3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60" hidden="1" customHeight="1" x14ac:dyDescent="0.25">
      <c r="A150" s="199" t="s">
        <v>148</v>
      </c>
      <c r="B150" s="104" t="s">
        <v>9</v>
      </c>
      <c r="C150" s="104" t="s">
        <v>12</v>
      </c>
      <c r="D150" s="104" t="s">
        <v>85</v>
      </c>
      <c r="E150" s="104" t="s">
        <v>147</v>
      </c>
      <c r="F150" s="104"/>
      <c r="G150" s="104"/>
      <c r="H150" s="104"/>
      <c r="I150" s="106">
        <f>I151</f>
        <v>0</v>
      </c>
      <c r="J150" s="106">
        <f t="shared" ref="J150:K152" si="77">J151</f>
        <v>0</v>
      </c>
      <c r="K150" s="106">
        <f t="shared" si="77"/>
        <v>0</v>
      </c>
      <c r="L150" s="115"/>
      <c r="M150" s="195"/>
      <c r="N150" s="196"/>
      <c r="O150" s="20">
        <f>I150-J150-K150</f>
        <v>0</v>
      </c>
      <c r="P150" s="21" t="e">
        <f t="shared" si="66"/>
        <v>#DIV/0!</v>
      </c>
      <c r="Q150" s="321"/>
      <c r="R150" s="32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" customFormat="1" ht="27.75" hidden="1" customHeight="1" x14ac:dyDescent="0.25">
      <c r="A151" s="99" t="s">
        <v>43</v>
      </c>
      <c r="B151" s="112" t="s">
        <v>9</v>
      </c>
      <c r="C151" s="112" t="s">
        <v>12</v>
      </c>
      <c r="D151" s="112" t="s">
        <v>85</v>
      </c>
      <c r="E151" s="105" t="s">
        <v>147</v>
      </c>
      <c r="F151" s="112" t="s">
        <v>63</v>
      </c>
      <c r="G151" s="112" t="s">
        <v>44</v>
      </c>
      <c r="H151" s="112"/>
      <c r="I151" s="118">
        <v>0</v>
      </c>
      <c r="J151" s="158">
        <v>0</v>
      </c>
      <c r="K151" s="118">
        <f t="shared" ref="K151" si="78">I151-J151</f>
        <v>0</v>
      </c>
      <c r="L151" s="114"/>
      <c r="M151" s="188"/>
      <c r="N151" s="189"/>
      <c r="O151" s="119">
        <f t="shared" ref="O151" si="79">I151-J151-K151</f>
        <v>0</v>
      </c>
      <c r="P151" s="120" t="e">
        <f t="shared" si="66"/>
        <v>#DIV/0!</v>
      </c>
      <c r="Q151" s="323"/>
      <c r="R151" s="32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" customFormat="1" ht="41.25" customHeight="1" x14ac:dyDescent="0.25">
      <c r="A152" s="199" t="s">
        <v>161</v>
      </c>
      <c r="B152" s="104" t="s">
        <v>9</v>
      </c>
      <c r="C152" s="104" t="s">
        <v>12</v>
      </c>
      <c r="D152" s="104" t="s">
        <v>85</v>
      </c>
      <c r="E152" s="104" t="s">
        <v>162</v>
      </c>
      <c r="F152" s="104" t="s">
        <v>63</v>
      </c>
      <c r="G152" s="104" t="s">
        <v>42</v>
      </c>
      <c r="H152" s="104"/>
      <c r="I152" s="106">
        <f>I153</f>
        <v>63000</v>
      </c>
      <c r="J152" s="106">
        <f t="shared" si="77"/>
        <v>63000</v>
      </c>
      <c r="K152" s="106">
        <f t="shared" si="77"/>
        <v>0</v>
      </c>
      <c r="L152" s="115"/>
      <c r="M152" s="195"/>
      <c r="N152" s="196"/>
      <c r="O152" s="20">
        <f>I152-J152-K152</f>
        <v>0</v>
      </c>
      <c r="P152" s="21">
        <f t="shared" si="66"/>
        <v>100</v>
      </c>
      <c r="Q152" s="321"/>
      <c r="R152" s="32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" customFormat="1" ht="27.75" customHeight="1" x14ac:dyDescent="0.25">
      <c r="A153" s="99" t="s">
        <v>43</v>
      </c>
      <c r="B153" s="112" t="s">
        <v>9</v>
      </c>
      <c r="C153" s="112" t="s">
        <v>12</v>
      </c>
      <c r="D153" s="112" t="s">
        <v>85</v>
      </c>
      <c r="E153" s="113" t="s">
        <v>162</v>
      </c>
      <c r="F153" s="112" t="s">
        <v>63</v>
      </c>
      <c r="G153" s="112" t="s">
        <v>42</v>
      </c>
      <c r="H153" s="112"/>
      <c r="I153" s="116">
        <v>63000</v>
      </c>
      <c r="J153" s="117">
        <v>63000</v>
      </c>
      <c r="K153" s="118">
        <f t="shared" ref="K153" si="80">I153-J153</f>
        <v>0</v>
      </c>
      <c r="L153" s="114"/>
      <c r="M153" s="188"/>
      <c r="N153" s="189"/>
      <c r="O153" s="119">
        <f>I153-J153-K153</f>
        <v>0</v>
      </c>
      <c r="P153" s="120">
        <f t="shared" si="66"/>
        <v>100</v>
      </c>
      <c r="Q153" s="323"/>
      <c r="R153" s="32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" customFormat="1" ht="22.5" customHeight="1" x14ac:dyDescent="0.3">
      <c r="A154" s="333" t="s">
        <v>71</v>
      </c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5"/>
      <c r="Q154" s="336"/>
      <c r="R154" s="337"/>
    </row>
    <row r="155" spans="1:50" ht="78" x14ac:dyDescent="0.25">
      <c r="A155" s="51" t="s">
        <v>8</v>
      </c>
      <c r="B155" s="52" t="s">
        <v>9</v>
      </c>
      <c r="C155" s="52"/>
      <c r="D155" s="52"/>
      <c r="E155" s="52"/>
      <c r="F155" s="52"/>
      <c r="G155" s="52"/>
      <c r="H155" s="52"/>
      <c r="I155" s="53">
        <f>I156+I167+I163+I171+I173+I178+I181+I184+I159+I161</f>
        <v>17139524.57</v>
      </c>
      <c r="J155" s="53">
        <f>J156+J167+J163+J173+J178+J171+J181+J184+J159+J161</f>
        <v>10935080.470000001</v>
      </c>
      <c r="K155" s="53">
        <f>K156+K167+K163+K171+K173+K178+K181+K184+K159+K161</f>
        <v>5205204.67</v>
      </c>
      <c r="L155" s="53" t="e">
        <f>L156+L167</f>
        <v>#REF!</v>
      </c>
      <c r="M155" s="53" t="e">
        <f>M156+M167</f>
        <v>#REF!</v>
      </c>
      <c r="N155" s="53" t="e">
        <f>N156+N167</f>
        <v>#REF!</v>
      </c>
      <c r="O155" s="53">
        <f>I155-J155-K155</f>
        <v>999239.4299999997</v>
      </c>
      <c r="P155" s="53">
        <f>(P156+P167)/2</f>
        <v>66.846781045338957</v>
      </c>
      <c r="Q155" s="331"/>
      <c r="R155" s="331"/>
    </row>
    <row r="156" spans="1:50" ht="24" customHeight="1" x14ac:dyDescent="0.25">
      <c r="A156" s="173" t="s">
        <v>11</v>
      </c>
      <c r="B156" s="8" t="s">
        <v>9</v>
      </c>
      <c r="C156" s="8" t="s">
        <v>12</v>
      </c>
      <c r="D156" s="8"/>
      <c r="E156" s="8"/>
      <c r="F156" s="8"/>
      <c r="G156" s="8"/>
      <c r="H156" s="8"/>
      <c r="I156" s="264">
        <f>I157</f>
        <v>248300</v>
      </c>
      <c r="J156" s="9">
        <f t="shared" ref="J156:N156" si="81">J157</f>
        <v>167455.26</v>
      </c>
      <c r="K156" s="9">
        <f t="shared" ref="K156:K160" si="82">I156-J156</f>
        <v>80844.739999999991</v>
      </c>
      <c r="L156" s="9" t="e">
        <f t="shared" si="81"/>
        <v>#REF!</v>
      </c>
      <c r="M156" s="9">
        <f t="shared" si="81"/>
        <v>0</v>
      </c>
      <c r="N156" s="9">
        <f t="shared" si="81"/>
        <v>0</v>
      </c>
      <c r="O156" s="9">
        <f t="shared" ref="O156:O176" si="83">I156-J156-K156</f>
        <v>0</v>
      </c>
      <c r="P156" s="12">
        <f t="shared" ref="P156:P165" si="84">J156/I156*100</f>
        <v>67.440700765203388</v>
      </c>
      <c r="Q156" s="331"/>
      <c r="R156" s="331"/>
    </row>
    <row r="157" spans="1:50" ht="102.75" customHeight="1" x14ac:dyDescent="0.25">
      <c r="A157" s="190" t="s">
        <v>153</v>
      </c>
      <c r="B157" s="41" t="s">
        <v>9</v>
      </c>
      <c r="C157" s="41" t="s">
        <v>12</v>
      </c>
      <c r="D157" s="41" t="s">
        <v>14</v>
      </c>
      <c r="E157" s="41" t="s">
        <v>72</v>
      </c>
      <c r="F157" s="41"/>
      <c r="G157" s="41"/>
      <c r="H157" s="41"/>
      <c r="I157" s="17">
        <f>I158</f>
        <v>248300</v>
      </c>
      <c r="J157" s="55">
        <f>J158</f>
        <v>167455.26</v>
      </c>
      <c r="K157" s="55">
        <f t="shared" si="82"/>
        <v>80844.739999999991</v>
      </c>
      <c r="L157" s="18" t="e">
        <f>L158</f>
        <v>#REF!</v>
      </c>
      <c r="M157" s="186"/>
      <c r="N157" s="187"/>
      <c r="O157" s="20">
        <f t="shared" si="83"/>
        <v>0</v>
      </c>
      <c r="P157" s="21">
        <f t="shared" si="84"/>
        <v>67.440700765203388</v>
      </c>
      <c r="Q157" s="331"/>
      <c r="R157" s="331"/>
      <c r="S157" s="15"/>
    </row>
    <row r="158" spans="1:50" ht="18.75" x14ac:dyDescent="0.25">
      <c r="A158" s="99" t="s">
        <v>113</v>
      </c>
      <c r="B158" s="22" t="s">
        <v>9</v>
      </c>
      <c r="C158" s="22" t="s">
        <v>12</v>
      </c>
      <c r="D158" s="22" t="s">
        <v>14</v>
      </c>
      <c r="E158" s="43" t="s">
        <v>72</v>
      </c>
      <c r="F158" s="22" t="s">
        <v>63</v>
      </c>
      <c r="G158" s="22" t="s">
        <v>114</v>
      </c>
      <c r="H158" s="22"/>
      <c r="I158" s="23">
        <v>248300</v>
      </c>
      <c r="J158" s="34">
        <v>167455.26</v>
      </c>
      <c r="K158" s="34">
        <f t="shared" si="82"/>
        <v>80844.739999999991</v>
      </c>
      <c r="L158" s="24" t="e">
        <f>#REF!</f>
        <v>#REF!</v>
      </c>
      <c r="M158" s="184"/>
      <c r="N158" s="185"/>
      <c r="O158" s="25">
        <f t="shared" si="83"/>
        <v>0</v>
      </c>
      <c r="P158" s="26">
        <f t="shared" si="84"/>
        <v>67.440700765203388</v>
      </c>
      <c r="Q158" s="331"/>
      <c r="R158" s="331"/>
      <c r="Z158" s="15"/>
      <c r="AA158" s="15"/>
      <c r="AB158" s="15"/>
      <c r="AC158" s="15"/>
      <c r="AD158" s="15"/>
    </row>
    <row r="159" spans="1:50" ht="131.25" customHeight="1" x14ac:dyDescent="0.25">
      <c r="A159" s="190" t="s">
        <v>154</v>
      </c>
      <c r="B159" s="41" t="s">
        <v>9</v>
      </c>
      <c r="C159" s="41" t="s">
        <v>12</v>
      </c>
      <c r="D159" s="41" t="s">
        <v>14</v>
      </c>
      <c r="E159" s="41" t="s">
        <v>159</v>
      </c>
      <c r="F159" s="41"/>
      <c r="G159" s="41"/>
      <c r="H159" s="41"/>
      <c r="I159" s="17">
        <f>I160</f>
        <v>477400</v>
      </c>
      <c r="J159" s="55">
        <f>J160</f>
        <v>203140.39</v>
      </c>
      <c r="K159" s="55">
        <f t="shared" si="82"/>
        <v>274259.61</v>
      </c>
      <c r="L159" s="18" t="e">
        <f>L160</f>
        <v>#REF!</v>
      </c>
      <c r="M159" s="186"/>
      <c r="N159" s="187"/>
      <c r="O159" s="20">
        <f t="shared" si="83"/>
        <v>0</v>
      </c>
      <c r="P159" s="21">
        <f t="shared" si="84"/>
        <v>42.551401340594893</v>
      </c>
      <c r="Q159" s="331"/>
      <c r="R159" s="331"/>
      <c r="S159" s="15"/>
    </row>
    <row r="160" spans="1:50" ht="18.75" x14ac:dyDescent="0.25">
      <c r="A160" s="99" t="s">
        <v>113</v>
      </c>
      <c r="B160" s="22" t="s">
        <v>9</v>
      </c>
      <c r="C160" s="22" t="s">
        <v>12</v>
      </c>
      <c r="D160" s="22" t="s">
        <v>14</v>
      </c>
      <c r="E160" s="43" t="s">
        <v>159</v>
      </c>
      <c r="F160" s="22" t="s">
        <v>63</v>
      </c>
      <c r="G160" s="22" t="s">
        <v>114</v>
      </c>
      <c r="H160" s="22"/>
      <c r="I160" s="23">
        <v>477400</v>
      </c>
      <c r="J160" s="34">
        <v>203140.39</v>
      </c>
      <c r="K160" s="34">
        <f t="shared" si="82"/>
        <v>274259.61</v>
      </c>
      <c r="L160" s="24" t="e">
        <f>#REF!</f>
        <v>#REF!</v>
      </c>
      <c r="M160" s="184"/>
      <c r="N160" s="185"/>
      <c r="O160" s="25">
        <f t="shared" si="83"/>
        <v>0</v>
      </c>
      <c r="P160" s="26">
        <f t="shared" si="84"/>
        <v>42.551401340594893</v>
      </c>
      <c r="Q160" s="331"/>
      <c r="R160" s="331"/>
      <c r="Z160" s="15"/>
      <c r="AA160" s="15"/>
      <c r="AB160" s="15"/>
      <c r="AC160" s="15"/>
      <c r="AD160" s="15"/>
    </row>
    <row r="161" spans="1:50" ht="117.75" customHeight="1" x14ac:dyDescent="0.25">
      <c r="A161" s="190" t="s">
        <v>154</v>
      </c>
      <c r="B161" s="41" t="s">
        <v>9</v>
      </c>
      <c r="C161" s="41" t="s">
        <v>12</v>
      </c>
      <c r="D161" s="41" t="s">
        <v>14</v>
      </c>
      <c r="E161" s="41" t="s">
        <v>160</v>
      </c>
      <c r="F161" s="41"/>
      <c r="G161" s="41"/>
      <c r="H161" s="41"/>
      <c r="I161" s="17">
        <f>I162</f>
        <v>4563328.57</v>
      </c>
      <c r="J161" s="55">
        <f>J162</f>
        <v>2020613.24</v>
      </c>
      <c r="K161" s="55">
        <f>K162</f>
        <v>1543475.9</v>
      </c>
      <c r="L161" s="18" t="e">
        <f>L162</f>
        <v>#REF!</v>
      </c>
      <c r="M161" s="186"/>
      <c r="N161" s="187"/>
      <c r="O161" s="20">
        <f t="shared" si="83"/>
        <v>999239.43000000017</v>
      </c>
      <c r="P161" s="21">
        <f t="shared" si="84"/>
        <v>44.279372151368008</v>
      </c>
      <c r="Q161" s="331"/>
      <c r="R161" s="331"/>
      <c r="S161" s="15"/>
    </row>
    <row r="162" spans="1:50" ht="18.75" x14ac:dyDescent="0.25">
      <c r="A162" s="99" t="s">
        <v>113</v>
      </c>
      <c r="B162" s="22" t="s">
        <v>9</v>
      </c>
      <c r="C162" s="22" t="s">
        <v>12</v>
      </c>
      <c r="D162" s="22" t="s">
        <v>14</v>
      </c>
      <c r="E162" s="43" t="s">
        <v>160</v>
      </c>
      <c r="F162" s="22" t="s">
        <v>22</v>
      </c>
      <c r="G162" s="22" t="s">
        <v>114</v>
      </c>
      <c r="H162" s="22"/>
      <c r="I162" s="23">
        <v>4563328.57</v>
      </c>
      <c r="J162" s="34">
        <v>2020613.24</v>
      </c>
      <c r="K162" s="34">
        <f>I162-J162-999239.43</f>
        <v>1543475.9</v>
      </c>
      <c r="L162" s="24" t="e">
        <f>#REF!</f>
        <v>#REF!</v>
      </c>
      <c r="M162" s="184"/>
      <c r="N162" s="185"/>
      <c r="O162" s="25">
        <f t="shared" si="83"/>
        <v>999239.43000000017</v>
      </c>
      <c r="P162" s="26">
        <f t="shared" si="84"/>
        <v>44.279372151368008</v>
      </c>
      <c r="Q162" s="331"/>
      <c r="R162" s="331"/>
      <c r="Z162" s="15"/>
      <c r="AA162" s="15"/>
      <c r="AB162" s="15"/>
      <c r="AC162" s="15"/>
      <c r="AD162" s="15"/>
    </row>
    <row r="163" spans="1:50" ht="56.25" hidden="1" x14ac:dyDescent="0.25">
      <c r="A163" s="199" t="s">
        <v>143</v>
      </c>
      <c r="B163" s="104" t="s">
        <v>9</v>
      </c>
      <c r="C163" s="104" t="s">
        <v>12</v>
      </c>
      <c r="D163" s="104" t="s">
        <v>14</v>
      </c>
      <c r="E163" s="104" t="s">
        <v>138</v>
      </c>
      <c r="F163" s="104"/>
      <c r="G163" s="104"/>
      <c r="H163" s="104"/>
      <c r="I163" s="106">
        <f>I165+I164+I166</f>
        <v>0</v>
      </c>
      <c r="J163" s="106">
        <f>J165+J164+J166</f>
        <v>0</v>
      </c>
      <c r="K163" s="106">
        <f t="shared" ref="K163" si="85">K165</f>
        <v>0</v>
      </c>
      <c r="L163" s="265"/>
      <c r="M163" s="195"/>
      <c r="N163" s="196"/>
      <c r="O163" s="20">
        <f>I163-J163-K163</f>
        <v>0</v>
      </c>
      <c r="P163" s="21" t="e">
        <f t="shared" si="84"/>
        <v>#DIV/0!</v>
      </c>
      <c r="Q163" s="331"/>
      <c r="R163" s="331"/>
      <c r="Z163" s="15"/>
      <c r="AA163" s="15"/>
      <c r="AB163" s="15"/>
      <c r="AC163" s="15"/>
      <c r="AD163" s="15"/>
    </row>
    <row r="164" spans="1:50" ht="18.75" hidden="1" x14ac:dyDescent="0.25">
      <c r="A164" s="200" t="s">
        <v>43</v>
      </c>
      <c r="B164" s="112" t="s">
        <v>9</v>
      </c>
      <c r="C164" s="112" t="s">
        <v>12</v>
      </c>
      <c r="D164" s="112" t="s">
        <v>14</v>
      </c>
      <c r="E164" s="113" t="s">
        <v>138</v>
      </c>
      <c r="F164" s="112" t="s">
        <v>63</v>
      </c>
      <c r="G164" s="112" t="s">
        <v>44</v>
      </c>
      <c r="H164" s="129"/>
      <c r="I164" s="118">
        <v>0</v>
      </c>
      <c r="J164" s="158">
        <v>0</v>
      </c>
      <c r="K164" s="116"/>
      <c r="L164" s="136"/>
      <c r="M164" s="182"/>
      <c r="N164" s="183"/>
      <c r="O164" s="119"/>
      <c r="P164" s="120"/>
      <c r="Q164" s="331"/>
      <c r="R164" s="331"/>
      <c r="Z164" s="15"/>
      <c r="AA164" s="15"/>
      <c r="AB164" s="15"/>
      <c r="AC164" s="15"/>
      <c r="AD164" s="15"/>
    </row>
    <row r="165" spans="1:50" ht="25.5" hidden="1" customHeight="1" x14ac:dyDescent="0.25">
      <c r="A165" s="99" t="s">
        <v>47</v>
      </c>
      <c r="B165" s="112" t="s">
        <v>9</v>
      </c>
      <c r="C165" s="112" t="s">
        <v>12</v>
      </c>
      <c r="D165" s="112" t="s">
        <v>14</v>
      </c>
      <c r="E165" s="113" t="s">
        <v>138</v>
      </c>
      <c r="F165" s="112" t="s">
        <v>63</v>
      </c>
      <c r="G165" s="112" t="s">
        <v>48</v>
      </c>
      <c r="H165" s="112"/>
      <c r="I165" s="118">
        <v>0</v>
      </c>
      <c r="J165" s="158">
        <v>0</v>
      </c>
      <c r="K165" s="118">
        <f t="shared" ref="K165:K177" si="86">I165-J165</f>
        <v>0</v>
      </c>
      <c r="L165" s="266"/>
      <c r="M165" s="188"/>
      <c r="N165" s="189"/>
      <c r="O165" s="119">
        <f t="shared" ref="O165" si="87">I165-J165-K165</f>
        <v>0</v>
      </c>
      <c r="P165" s="120" t="e">
        <f t="shared" si="84"/>
        <v>#DIV/0!</v>
      </c>
      <c r="Q165" s="331"/>
      <c r="R165" s="331"/>
      <c r="Z165" s="15"/>
      <c r="AA165" s="15"/>
      <c r="AB165" s="15"/>
      <c r="AC165" s="15"/>
      <c r="AD165" s="15"/>
    </row>
    <row r="166" spans="1:50" ht="25.5" hidden="1" customHeight="1" x14ac:dyDescent="0.25">
      <c r="A166" s="175" t="s">
        <v>109</v>
      </c>
      <c r="B166" s="112" t="s">
        <v>9</v>
      </c>
      <c r="C166" s="112" t="s">
        <v>12</v>
      </c>
      <c r="D166" s="112" t="s">
        <v>14</v>
      </c>
      <c r="E166" s="113" t="s">
        <v>138</v>
      </c>
      <c r="F166" s="112" t="s">
        <v>63</v>
      </c>
      <c r="G166" s="112" t="s">
        <v>104</v>
      </c>
      <c r="H166" s="112"/>
      <c r="I166" s="118">
        <v>0</v>
      </c>
      <c r="J166" s="158">
        <v>0</v>
      </c>
      <c r="K166" s="118"/>
      <c r="L166" s="266"/>
      <c r="M166" s="188"/>
      <c r="N166" s="189"/>
      <c r="O166" s="119"/>
      <c r="P166" s="120"/>
      <c r="Q166" s="331"/>
      <c r="R166" s="331"/>
      <c r="Z166" s="15"/>
      <c r="AA166" s="15"/>
      <c r="AB166" s="15"/>
      <c r="AC166" s="15"/>
      <c r="AD166" s="15"/>
    </row>
    <row r="167" spans="1:50" s="47" customFormat="1" ht="18.75" x14ac:dyDescent="0.3">
      <c r="A167" s="58" t="s">
        <v>75</v>
      </c>
      <c r="B167" s="59" t="s">
        <v>9</v>
      </c>
      <c r="C167" s="59" t="s">
        <v>76</v>
      </c>
      <c r="D167" s="59"/>
      <c r="E167" s="59"/>
      <c r="F167" s="59"/>
      <c r="G167" s="59"/>
      <c r="H167" s="59"/>
      <c r="I167" s="61">
        <f t="shared" ref="I167:J171" si="88">I168</f>
        <v>5202484</v>
      </c>
      <c r="J167" s="61">
        <f t="shared" si="88"/>
        <v>3446794.51</v>
      </c>
      <c r="K167" s="61">
        <f t="shared" si="86"/>
        <v>1755689.4900000002</v>
      </c>
      <c r="L167" s="61" t="e">
        <f>L168+#REF!</f>
        <v>#REF!</v>
      </c>
      <c r="M167" s="61" t="e">
        <f>M168+#REF!</f>
        <v>#REF!</v>
      </c>
      <c r="N167" s="61" t="e">
        <f>N168+#REF!</f>
        <v>#REF!</v>
      </c>
      <c r="O167" s="61">
        <f t="shared" si="83"/>
        <v>0</v>
      </c>
      <c r="P167" s="61">
        <f t="shared" ref="P167:P168" si="89">J167*100/I167</f>
        <v>66.252861325474527</v>
      </c>
      <c r="Q167" s="331"/>
      <c r="R167" s="331"/>
    </row>
    <row r="168" spans="1:50" ht="18.75" x14ac:dyDescent="0.3">
      <c r="A168" s="62" t="s">
        <v>77</v>
      </c>
      <c r="B168" s="63" t="s">
        <v>9</v>
      </c>
      <c r="C168" s="63" t="s">
        <v>76</v>
      </c>
      <c r="D168" s="63" t="s">
        <v>78</v>
      </c>
      <c r="E168" s="63"/>
      <c r="F168" s="63"/>
      <c r="G168" s="63"/>
      <c r="H168" s="63"/>
      <c r="I168" s="267">
        <f t="shared" si="88"/>
        <v>5202484</v>
      </c>
      <c r="J168" s="267">
        <f t="shared" si="88"/>
        <v>3446794.51</v>
      </c>
      <c r="K168" s="65">
        <f t="shared" si="86"/>
        <v>1755689.4900000002</v>
      </c>
      <c r="L168" s="65" t="e">
        <f t="shared" ref="L168:N168" si="90">L169</f>
        <v>#REF!</v>
      </c>
      <c r="M168" s="65">
        <f t="shared" si="90"/>
        <v>0</v>
      </c>
      <c r="N168" s="65">
        <f t="shared" si="90"/>
        <v>0</v>
      </c>
      <c r="O168" s="65">
        <f t="shared" si="83"/>
        <v>0</v>
      </c>
      <c r="P168" s="65">
        <f t="shared" si="89"/>
        <v>66.252861325474527</v>
      </c>
      <c r="Q168" s="331"/>
      <c r="R168" s="331"/>
    </row>
    <row r="169" spans="1:50" ht="135.75" customHeight="1" x14ac:dyDescent="0.25">
      <c r="A169" s="86" t="s">
        <v>79</v>
      </c>
      <c r="B169" s="41" t="s">
        <v>9</v>
      </c>
      <c r="C169" s="41" t="s">
        <v>76</v>
      </c>
      <c r="D169" s="41" t="s">
        <v>78</v>
      </c>
      <c r="E169" s="66">
        <v>7110175110</v>
      </c>
      <c r="F169" s="41"/>
      <c r="G169" s="41"/>
      <c r="H169" s="41"/>
      <c r="I169" s="17">
        <f t="shared" si="88"/>
        <v>5202484</v>
      </c>
      <c r="J169" s="17">
        <f t="shared" si="88"/>
        <v>3446794.51</v>
      </c>
      <c r="K169" s="17">
        <f t="shared" si="86"/>
        <v>1755689.4900000002</v>
      </c>
      <c r="L169" s="18" t="e">
        <f>L170</f>
        <v>#REF!</v>
      </c>
      <c r="M169" s="186"/>
      <c r="N169" s="187"/>
      <c r="O169" s="20">
        <f t="shared" si="83"/>
        <v>0</v>
      </c>
      <c r="P169" s="21">
        <f>J169/I169*100</f>
        <v>66.252861325474527</v>
      </c>
      <c r="Q169" s="331"/>
      <c r="R169" s="331"/>
    </row>
    <row r="170" spans="1:50" s="46" customFormat="1" ht="37.5" x14ac:dyDescent="0.25">
      <c r="A170" s="175" t="s">
        <v>93</v>
      </c>
      <c r="B170" s="22" t="s">
        <v>9</v>
      </c>
      <c r="C170" s="22" t="s">
        <v>76</v>
      </c>
      <c r="D170" s="22" t="s">
        <v>78</v>
      </c>
      <c r="E170" s="67">
        <v>7110175100</v>
      </c>
      <c r="F170" s="22" t="s">
        <v>63</v>
      </c>
      <c r="G170" s="22" t="s">
        <v>94</v>
      </c>
      <c r="H170" s="22"/>
      <c r="I170" s="23">
        <v>5202484</v>
      </c>
      <c r="J170" s="23">
        <v>3446794.51</v>
      </c>
      <c r="K170" s="23">
        <f t="shared" si="86"/>
        <v>1755689.4900000002</v>
      </c>
      <c r="L170" s="24" t="e">
        <f>#REF!</f>
        <v>#REF!</v>
      </c>
      <c r="M170" s="182"/>
      <c r="N170" s="183"/>
      <c r="O170" s="25">
        <f t="shared" si="83"/>
        <v>0</v>
      </c>
      <c r="P170" s="26">
        <f t="shared" ref="P170" si="91">J170/I170*100</f>
        <v>66.252861325474527</v>
      </c>
      <c r="Q170" s="331"/>
      <c r="R170" s="331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62.25" hidden="1" customHeight="1" x14ac:dyDescent="0.25">
      <c r="A171" s="40" t="s">
        <v>139</v>
      </c>
      <c r="B171" s="41" t="s">
        <v>9</v>
      </c>
      <c r="C171" s="41" t="s">
        <v>12</v>
      </c>
      <c r="D171" s="41" t="s">
        <v>14</v>
      </c>
      <c r="E171" s="66" t="s">
        <v>135</v>
      </c>
      <c r="F171" s="41"/>
      <c r="G171" s="41"/>
      <c r="H171" s="41"/>
      <c r="I171" s="17">
        <f t="shared" si="88"/>
        <v>0</v>
      </c>
      <c r="J171" s="17">
        <f t="shared" si="88"/>
        <v>0</v>
      </c>
      <c r="K171" s="17">
        <f t="shared" si="86"/>
        <v>0</v>
      </c>
      <c r="L171" s="18" t="e">
        <f>L172</f>
        <v>#REF!</v>
      </c>
      <c r="M171" s="186"/>
      <c r="N171" s="187"/>
      <c r="O171" s="20">
        <f t="shared" si="83"/>
        <v>0</v>
      </c>
      <c r="P171" s="21" t="e">
        <f>J171/I171*100</f>
        <v>#DIV/0!</v>
      </c>
      <c r="Q171" s="331"/>
      <c r="R171" s="331"/>
    </row>
    <row r="172" spans="1:50" s="46" customFormat="1" ht="18.75" hidden="1" x14ac:dyDescent="0.25">
      <c r="A172" s="99" t="s">
        <v>47</v>
      </c>
      <c r="B172" s="22" t="s">
        <v>9</v>
      </c>
      <c r="C172" s="16" t="s">
        <v>12</v>
      </c>
      <c r="D172" s="16" t="s">
        <v>14</v>
      </c>
      <c r="E172" s="134" t="s">
        <v>135</v>
      </c>
      <c r="F172" s="22" t="s">
        <v>63</v>
      </c>
      <c r="G172" s="22" t="s">
        <v>48</v>
      </c>
      <c r="H172" s="22"/>
      <c r="I172" s="35">
        <v>0</v>
      </c>
      <c r="J172" s="35">
        <v>0</v>
      </c>
      <c r="K172" s="23">
        <f t="shared" si="86"/>
        <v>0</v>
      </c>
      <c r="L172" s="24" t="e">
        <f>#REF!</f>
        <v>#REF!</v>
      </c>
      <c r="M172" s="182"/>
      <c r="N172" s="183"/>
      <c r="O172" s="25">
        <f t="shared" si="83"/>
        <v>0</v>
      </c>
      <c r="P172" s="26" t="e">
        <f t="shared" ref="P172" si="92">J172/I172*100</f>
        <v>#DIV/0!</v>
      </c>
      <c r="Q172" s="331"/>
      <c r="R172" s="331"/>
      <c r="S172" s="1"/>
      <c r="T172" s="1"/>
      <c r="U172" s="1"/>
      <c r="V172" s="1"/>
      <c r="W172" s="1"/>
      <c r="X172" s="1"/>
      <c r="Y172" s="1"/>
      <c r="Z172" s="68"/>
      <c r="AA172" s="68"/>
      <c r="AB172" s="68"/>
      <c r="AC172" s="68"/>
      <c r="AD172" s="68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62.25" hidden="1" customHeight="1" x14ac:dyDescent="0.25">
      <c r="A173" s="199" t="s">
        <v>148</v>
      </c>
      <c r="B173" s="41" t="s">
        <v>9</v>
      </c>
      <c r="C173" s="41" t="s">
        <v>12</v>
      </c>
      <c r="D173" s="41" t="s">
        <v>85</v>
      </c>
      <c r="E173" s="66">
        <v>7010470790</v>
      </c>
      <c r="F173" s="41"/>
      <c r="G173" s="41"/>
      <c r="H173" s="41"/>
      <c r="I173" s="17">
        <f>I176+I174+I175+I177</f>
        <v>0</v>
      </c>
      <c r="J173" s="17">
        <f>J176+J174+J175+J177</f>
        <v>0</v>
      </c>
      <c r="K173" s="17">
        <f t="shared" si="86"/>
        <v>0</v>
      </c>
      <c r="L173" s="18" t="e">
        <f>L176</f>
        <v>#REF!</v>
      </c>
      <c r="M173" s="186"/>
      <c r="N173" s="187"/>
      <c r="O173" s="20">
        <f t="shared" si="83"/>
        <v>0</v>
      </c>
      <c r="P173" s="21" t="e">
        <f>J173/I173*100</f>
        <v>#DIV/0!</v>
      </c>
      <c r="Q173" s="331"/>
      <c r="R173" s="331"/>
    </row>
    <row r="174" spans="1:50" ht="27" hidden="1" customHeight="1" x14ac:dyDescent="0.25">
      <c r="A174" s="200" t="s">
        <v>56</v>
      </c>
      <c r="B174" s="22" t="s">
        <v>9</v>
      </c>
      <c r="C174" s="22" t="s">
        <v>12</v>
      </c>
      <c r="D174" s="22" t="s">
        <v>85</v>
      </c>
      <c r="E174" s="67">
        <v>7010470790</v>
      </c>
      <c r="F174" s="22" t="s">
        <v>63</v>
      </c>
      <c r="G174" s="22" t="s">
        <v>38</v>
      </c>
      <c r="H174" s="22"/>
      <c r="I174" s="23"/>
      <c r="J174" s="23"/>
      <c r="K174" s="23">
        <f>I174-J174</f>
        <v>0</v>
      </c>
      <c r="L174" s="24"/>
      <c r="M174" s="182"/>
      <c r="N174" s="183"/>
      <c r="O174" s="25"/>
      <c r="P174" s="26"/>
      <c r="Q174" s="331"/>
      <c r="R174" s="331"/>
    </row>
    <row r="175" spans="1:50" ht="20.25" hidden="1" customHeight="1" x14ac:dyDescent="0.25">
      <c r="A175" s="200" t="s">
        <v>43</v>
      </c>
      <c r="B175" s="22" t="s">
        <v>9</v>
      </c>
      <c r="C175" s="22" t="s">
        <v>12</v>
      </c>
      <c r="D175" s="22" t="s">
        <v>85</v>
      </c>
      <c r="E175" s="67">
        <v>7010470790</v>
      </c>
      <c r="F175" s="22" t="s">
        <v>63</v>
      </c>
      <c r="G175" s="22" t="s">
        <v>44</v>
      </c>
      <c r="H175" s="22"/>
      <c r="I175" s="23"/>
      <c r="J175" s="23"/>
      <c r="K175" s="23">
        <f>I175-J175</f>
        <v>0</v>
      </c>
      <c r="L175" s="24"/>
      <c r="M175" s="182"/>
      <c r="N175" s="183"/>
      <c r="O175" s="25"/>
      <c r="P175" s="26"/>
      <c r="Q175" s="331"/>
      <c r="R175" s="331"/>
    </row>
    <row r="176" spans="1:50" s="2" customFormat="1" ht="24" hidden="1" customHeight="1" x14ac:dyDescent="0.25">
      <c r="A176" s="201" t="s">
        <v>47</v>
      </c>
      <c r="B176" s="112" t="s">
        <v>9</v>
      </c>
      <c r="C176" s="112" t="s">
        <v>12</v>
      </c>
      <c r="D176" s="112" t="s">
        <v>85</v>
      </c>
      <c r="E176" s="138">
        <v>7010470790</v>
      </c>
      <c r="F176" s="112" t="s">
        <v>63</v>
      </c>
      <c r="G176" s="112" t="s">
        <v>48</v>
      </c>
      <c r="H176" s="112"/>
      <c r="I176" s="116"/>
      <c r="J176" s="116"/>
      <c r="K176" s="116">
        <f t="shared" si="86"/>
        <v>0</v>
      </c>
      <c r="L176" s="136" t="e">
        <f>#REF!</f>
        <v>#REF!</v>
      </c>
      <c r="M176" s="182"/>
      <c r="N176" s="183"/>
      <c r="O176" s="119">
        <f t="shared" si="83"/>
        <v>0</v>
      </c>
      <c r="P176" s="120" t="e">
        <f t="shared" ref="P176:P178" si="93">J176/I176*100</f>
        <v>#DIV/0!</v>
      </c>
      <c r="Q176" s="332"/>
      <c r="R176" s="332"/>
      <c r="S176" s="1"/>
      <c r="T176" s="1"/>
      <c r="U176" s="1"/>
      <c r="V176" s="1"/>
      <c r="W176" s="1"/>
      <c r="X176" s="1"/>
      <c r="Y176" s="1"/>
      <c r="Z176" s="68"/>
      <c r="AA176" s="68"/>
      <c r="AB176" s="68"/>
      <c r="AC176" s="68"/>
      <c r="AD176" s="6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24" hidden="1" customHeight="1" x14ac:dyDescent="0.25">
      <c r="A177" s="175" t="s">
        <v>109</v>
      </c>
      <c r="B177" s="112" t="s">
        <v>9</v>
      </c>
      <c r="C177" s="112" t="s">
        <v>12</v>
      </c>
      <c r="D177" s="112" t="s">
        <v>85</v>
      </c>
      <c r="E177" s="138">
        <v>7010470790</v>
      </c>
      <c r="F177" s="112" t="s">
        <v>63</v>
      </c>
      <c r="G177" s="112" t="s">
        <v>104</v>
      </c>
      <c r="H177" s="22"/>
      <c r="I177" s="23"/>
      <c r="J177" s="23"/>
      <c r="K177" s="116">
        <f t="shared" si="86"/>
        <v>0</v>
      </c>
      <c r="L177" s="137"/>
      <c r="M177" s="290"/>
      <c r="N177" s="289"/>
      <c r="O177" s="119">
        <f>I177-J177-K177</f>
        <v>0</v>
      </c>
      <c r="P177" s="120" t="e">
        <f t="shared" si="93"/>
        <v>#DIV/0!</v>
      </c>
      <c r="Q177" s="332"/>
      <c r="R177" s="332"/>
      <c r="S177" s="1"/>
      <c r="T177" s="1"/>
      <c r="U177" s="1"/>
      <c r="V177" s="1"/>
      <c r="W177" s="1"/>
      <c r="X177" s="1"/>
      <c r="Y177" s="1"/>
      <c r="Z177" s="68"/>
      <c r="AA177" s="68"/>
      <c r="AB177" s="68"/>
      <c r="AC177" s="68"/>
      <c r="AD177" s="6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hidden="1" customHeight="1" x14ac:dyDescent="0.25">
      <c r="A178" s="199" t="s">
        <v>145</v>
      </c>
      <c r="B178" s="104" t="s">
        <v>9</v>
      </c>
      <c r="C178" s="104" t="s">
        <v>12</v>
      </c>
      <c r="D178" s="104" t="s">
        <v>12</v>
      </c>
      <c r="E178" s="104" t="s">
        <v>149</v>
      </c>
      <c r="F178" s="104"/>
      <c r="G178" s="104"/>
      <c r="H178" s="104"/>
      <c r="I178" s="106">
        <f>I179+I180</f>
        <v>0</v>
      </c>
      <c r="J178" s="106">
        <f>J180+J179</f>
        <v>0</v>
      </c>
      <c r="K178" s="106">
        <f>K180+K179</f>
        <v>0</v>
      </c>
      <c r="L178" s="115"/>
      <c r="M178" s="195"/>
      <c r="N178" s="196"/>
      <c r="O178" s="20">
        <f>I178-J178-K178</f>
        <v>0</v>
      </c>
      <c r="P178" s="21" t="e">
        <f t="shared" si="93"/>
        <v>#DIV/0!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hidden="1" customHeight="1" x14ac:dyDescent="0.25">
      <c r="A179" s="194" t="s">
        <v>27</v>
      </c>
      <c r="B179" s="112" t="s">
        <v>9</v>
      </c>
      <c r="C179" s="112" t="s">
        <v>12</v>
      </c>
      <c r="D179" s="112" t="s">
        <v>12</v>
      </c>
      <c r="E179" s="112" t="s">
        <v>149</v>
      </c>
      <c r="F179" s="112" t="s">
        <v>63</v>
      </c>
      <c r="G179" s="112" t="s">
        <v>28</v>
      </c>
      <c r="H179" s="129"/>
      <c r="I179" s="116"/>
      <c r="J179" s="117"/>
      <c r="K179" s="130">
        <f>I179-J179</f>
        <v>0</v>
      </c>
      <c r="L179" s="131"/>
      <c r="M179" s="184"/>
      <c r="N179" s="185"/>
      <c r="O179" s="132"/>
      <c r="P179" s="133"/>
      <c r="Q179" s="325"/>
      <c r="R179" s="326"/>
    </row>
    <row r="180" spans="1:50" s="2" customFormat="1" ht="27.75" hidden="1" customHeight="1" x14ac:dyDescent="0.25">
      <c r="A180" s="175" t="s">
        <v>31</v>
      </c>
      <c r="B180" s="112" t="s">
        <v>9</v>
      </c>
      <c r="C180" s="112" t="s">
        <v>12</v>
      </c>
      <c r="D180" s="112" t="s">
        <v>12</v>
      </c>
      <c r="E180" s="112" t="s">
        <v>149</v>
      </c>
      <c r="F180" s="112" t="s">
        <v>63</v>
      </c>
      <c r="G180" s="112" t="s">
        <v>32</v>
      </c>
      <c r="H180" s="112"/>
      <c r="I180" s="116"/>
      <c r="J180" s="117"/>
      <c r="K180" s="116">
        <f>I180-J180</f>
        <v>0</v>
      </c>
      <c r="L180" s="131"/>
      <c r="M180" s="182"/>
      <c r="N180" s="183"/>
      <c r="O180" s="119">
        <f t="shared" ref="O180" si="94">I180-J180-K180</f>
        <v>0</v>
      </c>
      <c r="P180" s="120" t="e">
        <f t="shared" ref="P180:P186" si="95">J180/I180*100</f>
        <v>#DIV/0!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s="2" customFormat="1" ht="60" customHeight="1" x14ac:dyDescent="0.25">
      <c r="A181" s="199" t="s">
        <v>156</v>
      </c>
      <c r="B181" s="104" t="s">
        <v>9</v>
      </c>
      <c r="C181" s="104" t="s">
        <v>12</v>
      </c>
      <c r="D181" s="104" t="s">
        <v>14</v>
      </c>
      <c r="E181" s="104" t="s">
        <v>157</v>
      </c>
      <c r="F181" s="104"/>
      <c r="G181" s="104"/>
      <c r="H181" s="104"/>
      <c r="I181" s="106">
        <f>I182+I183</f>
        <v>6358968</v>
      </c>
      <c r="J181" s="106">
        <f>J183+J182</f>
        <v>4876824.8000000007</v>
      </c>
      <c r="K181" s="106">
        <f>K183+K182</f>
        <v>1482143.1999999997</v>
      </c>
      <c r="L181" s="115"/>
      <c r="M181" s="195"/>
      <c r="N181" s="196"/>
      <c r="O181" s="20">
        <f>I181-J181-K181</f>
        <v>0</v>
      </c>
      <c r="P181" s="21">
        <f t="shared" si="95"/>
        <v>76.692079595305415</v>
      </c>
      <c r="Q181" s="321"/>
      <c r="R181" s="32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33" customHeight="1" x14ac:dyDescent="0.25">
      <c r="A182" s="194" t="s">
        <v>27</v>
      </c>
      <c r="B182" s="112" t="s">
        <v>9</v>
      </c>
      <c r="C182" s="112" t="s">
        <v>12</v>
      </c>
      <c r="D182" s="112" t="s">
        <v>14</v>
      </c>
      <c r="E182" s="112" t="s">
        <v>157</v>
      </c>
      <c r="F182" s="112" t="s">
        <v>63</v>
      </c>
      <c r="G182" s="112" t="s">
        <v>28</v>
      </c>
      <c r="H182" s="129"/>
      <c r="I182" s="116">
        <v>4884000</v>
      </c>
      <c r="J182" s="117">
        <v>3745641.18</v>
      </c>
      <c r="K182" s="116">
        <f>I182-J182</f>
        <v>1138358.8199999998</v>
      </c>
      <c r="L182" s="131"/>
      <c r="M182" s="184"/>
      <c r="N182" s="185"/>
      <c r="O182" s="119">
        <f t="shared" ref="O182:O183" si="96">I182-J182-K182</f>
        <v>0</v>
      </c>
      <c r="P182" s="120">
        <f t="shared" si="95"/>
        <v>76.692079852579852</v>
      </c>
      <c r="Q182" s="325"/>
      <c r="R182" s="326"/>
    </row>
    <row r="183" spans="1:50" s="2" customFormat="1" ht="27.75" customHeight="1" x14ac:dyDescent="0.25">
      <c r="A183" s="175" t="s">
        <v>31</v>
      </c>
      <c r="B183" s="112" t="s">
        <v>9</v>
      </c>
      <c r="C183" s="112" t="s">
        <v>12</v>
      </c>
      <c r="D183" s="112" t="s">
        <v>14</v>
      </c>
      <c r="E183" s="112" t="s">
        <v>157</v>
      </c>
      <c r="F183" s="112" t="s">
        <v>63</v>
      </c>
      <c r="G183" s="112" t="s">
        <v>32</v>
      </c>
      <c r="H183" s="112"/>
      <c r="I183" s="116">
        <v>1474968</v>
      </c>
      <c r="J183" s="117">
        <v>1131183.6200000001</v>
      </c>
      <c r="K183" s="116">
        <f>I183-J183</f>
        <v>343784.37999999989</v>
      </c>
      <c r="L183" s="131"/>
      <c r="M183" s="182"/>
      <c r="N183" s="183"/>
      <c r="O183" s="119">
        <f t="shared" si="96"/>
        <v>0</v>
      </c>
      <c r="P183" s="120">
        <f t="shared" si="95"/>
        <v>76.692078743403258</v>
      </c>
      <c r="Q183" s="323"/>
      <c r="R183" s="32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" customFormat="1" ht="60" customHeight="1" x14ac:dyDescent="0.25">
      <c r="A184" s="199" t="s">
        <v>156</v>
      </c>
      <c r="B184" s="104" t="s">
        <v>9</v>
      </c>
      <c r="C184" s="104" t="s">
        <v>12</v>
      </c>
      <c r="D184" s="104" t="s">
        <v>14</v>
      </c>
      <c r="E184" s="104" t="s">
        <v>158</v>
      </c>
      <c r="F184" s="104"/>
      <c r="G184" s="104"/>
      <c r="H184" s="104"/>
      <c r="I184" s="106">
        <f>I185+I186</f>
        <v>289044</v>
      </c>
      <c r="J184" s="106">
        <f>J186+J185</f>
        <v>220252.27</v>
      </c>
      <c r="K184" s="106">
        <f>K186+K185</f>
        <v>68791.73000000001</v>
      </c>
      <c r="L184" s="115"/>
      <c r="M184" s="195"/>
      <c r="N184" s="196"/>
      <c r="O184" s="20">
        <f>I184-J184-K184</f>
        <v>0</v>
      </c>
      <c r="P184" s="21">
        <f t="shared" si="95"/>
        <v>76.20025670832122</v>
      </c>
      <c r="Q184" s="321"/>
      <c r="R184" s="32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33" customHeight="1" x14ac:dyDescent="0.25">
      <c r="A185" s="194" t="s">
        <v>27</v>
      </c>
      <c r="B185" s="112" t="s">
        <v>9</v>
      </c>
      <c r="C185" s="112" t="s">
        <v>12</v>
      </c>
      <c r="D185" s="112" t="s">
        <v>14</v>
      </c>
      <c r="E185" s="112" t="s">
        <v>158</v>
      </c>
      <c r="F185" s="112" t="s">
        <v>63</v>
      </c>
      <c r="G185" s="112" t="s">
        <v>28</v>
      </c>
      <c r="H185" s="129"/>
      <c r="I185" s="116">
        <v>222000</v>
      </c>
      <c r="J185" s="117">
        <f>151564.99+17599.59</f>
        <v>169164.58</v>
      </c>
      <c r="K185" s="116">
        <f>I185-J185</f>
        <v>52835.420000000013</v>
      </c>
      <c r="L185" s="131"/>
      <c r="M185" s="184"/>
      <c r="N185" s="185"/>
      <c r="O185" s="119">
        <f t="shared" ref="O185:O186" si="97">I185-J185-K185</f>
        <v>0</v>
      </c>
      <c r="P185" s="120">
        <f t="shared" si="95"/>
        <v>76.200261261261261</v>
      </c>
      <c r="Q185" s="325"/>
      <c r="R185" s="326"/>
    </row>
    <row r="186" spans="1:50" s="2" customFormat="1" ht="27.75" customHeight="1" x14ac:dyDescent="0.25">
      <c r="A186" s="291" t="s">
        <v>31</v>
      </c>
      <c r="B186" s="112" t="s">
        <v>9</v>
      </c>
      <c r="C186" s="112" t="s">
        <v>12</v>
      </c>
      <c r="D186" s="112" t="s">
        <v>14</v>
      </c>
      <c r="E186" s="112" t="s">
        <v>158</v>
      </c>
      <c r="F186" s="112" t="s">
        <v>63</v>
      </c>
      <c r="G186" s="112" t="s">
        <v>32</v>
      </c>
      <c r="H186" s="112"/>
      <c r="I186" s="116">
        <v>67044</v>
      </c>
      <c r="J186" s="117">
        <v>51087.69</v>
      </c>
      <c r="K186" s="116">
        <f>I186-J186</f>
        <v>15956.309999999998</v>
      </c>
      <c r="L186" s="131"/>
      <c r="M186" s="182"/>
      <c r="N186" s="183"/>
      <c r="O186" s="119">
        <f t="shared" si="97"/>
        <v>0</v>
      </c>
      <c r="P186" s="120">
        <f t="shared" si="95"/>
        <v>76.200241632360843</v>
      </c>
      <c r="Q186" s="323"/>
      <c r="R186" s="32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9.5" customHeight="1" x14ac:dyDescent="0.25">
      <c r="A187" s="386" t="s">
        <v>80</v>
      </c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30"/>
      <c r="R187" s="330"/>
    </row>
    <row r="188" spans="1:50" s="15" customFormat="1" ht="72.75" customHeight="1" x14ac:dyDescent="0.25">
      <c r="A188" s="202" t="s">
        <v>120</v>
      </c>
      <c r="B188" s="16" t="s">
        <v>81</v>
      </c>
      <c r="C188" s="16" t="s">
        <v>82</v>
      </c>
      <c r="D188" s="16" t="s">
        <v>82</v>
      </c>
      <c r="E188" s="16" t="s">
        <v>83</v>
      </c>
      <c r="F188" s="16" t="s">
        <v>81</v>
      </c>
      <c r="G188" s="16"/>
      <c r="H188" s="16"/>
      <c r="I188" s="17">
        <f>I189</f>
        <v>4268106.4000000004</v>
      </c>
      <c r="J188" s="17">
        <f>J189</f>
        <v>2687166.36</v>
      </c>
      <c r="K188" s="17">
        <f>I188-J188</f>
        <v>1580940.0400000005</v>
      </c>
      <c r="L188" s="17">
        <f t="shared" ref="L188:N188" si="98">L189</f>
        <v>0</v>
      </c>
      <c r="M188" s="17">
        <f t="shared" si="98"/>
        <v>0</v>
      </c>
      <c r="N188" s="17">
        <f t="shared" si="98"/>
        <v>0</v>
      </c>
      <c r="O188" s="20">
        <f t="shared" ref="O188:O189" si="99">I188-J188-K188</f>
        <v>0</v>
      </c>
      <c r="P188" s="21">
        <f>J188/I188*100</f>
        <v>62.959216761793932</v>
      </c>
      <c r="Q188" s="331"/>
      <c r="R188" s="331"/>
      <c r="S188" s="1"/>
      <c r="T188" s="1"/>
      <c r="U188" s="1"/>
      <c r="V188" s="1"/>
      <c r="W188" s="1"/>
      <c r="X188" s="1"/>
      <c r="Y188" s="1"/>
    </row>
    <row r="189" spans="1:50" s="15" customFormat="1" ht="18.75" customHeight="1" x14ac:dyDescent="0.25">
      <c r="A189" s="99" t="s">
        <v>113</v>
      </c>
      <c r="B189" s="22" t="s">
        <v>81</v>
      </c>
      <c r="C189" s="22" t="s">
        <v>82</v>
      </c>
      <c r="D189" s="22" t="s">
        <v>82</v>
      </c>
      <c r="E189" s="22" t="s">
        <v>83</v>
      </c>
      <c r="F189" s="22" t="s">
        <v>81</v>
      </c>
      <c r="G189" s="22" t="s">
        <v>114</v>
      </c>
      <c r="H189" s="22"/>
      <c r="I189" s="23">
        <v>4268106.4000000004</v>
      </c>
      <c r="J189" s="23">
        <v>2687166.36</v>
      </c>
      <c r="K189" s="23">
        <f>I189-J189</f>
        <v>1580940.0400000005</v>
      </c>
      <c r="L189" s="292"/>
      <c r="M189" s="290"/>
      <c r="N189" s="289"/>
      <c r="O189" s="25">
        <f t="shared" si="99"/>
        <v>0</v>
      </c>
      <c r="P189" s="26">
        <f>J189/I189*100</f>
        <v>62.959216761793932</v>
      </c>
      <c r="Q189" s="331"/>
      <c r="R189" s="331"/>
      <c r="S189" s="1"/>
      <c r="T189" s="1"/>
      <c r="U189" s="1"/>
      <c r="V189" s="1"/>
      <c r="W189" s="1"/>
      <c r="X189" s="1"/>
      <c r="Y189" s="1"/>
    </row>
    <row r="190" spans="1:50" ht="0.75" customHeight="1" x14ac:dyDescent="0.25">
      <c r="A190" s="293"/>
      <c r="B190" s="293"/>
      <c r="C190" s="293"/>
      <c r="D190" s="293"/>
      <c r="E190" s="293"/>
      <c r="F190" s="293"/>
      <c r="G190" s="293"/>
      <c r="H190" s="294"/>
      <c r="I190" s="295"/>
      <c r="J190" s="296"/>
      <c r="K190" s="297"/>
      <c r="L190" s="289"/>
      <c r="M190" s="289"/>
      <c r="N190" s="289"/>
      <c r="O190" s="289"/>
      <c r="P190" s="289"/>
      <c r="Q190" s="289"/>
      <c r="R190" s="289"/>
    </row>
    <row r="191" spans="1:50" ht="19.5" customHeight="1" x14ac:dyDescent="0.25">
      <c r="A191" s="386" t="s">
        <v>186</v>
      </c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31"/>
      <c r="R191" s="331"/>
    </row>
    <row r="192" spans="1:50" s="15" customFormat="1" ht="76.5" customHeight="1" x14ac:dyDescent="0.25">
      <c r="A192" s="202"/>
      <c r="B192" s="16" t="s">
        <v>81</v>
      </c>
      <c r="C192" s="16" t="s">
        <v>82</v>
      </c>
      <c r="D192" s="16" t="s">
        <v>82</v>
      </c>
      <c r="E192" s="16" t="s">
        <v>83</v>
      </c>
      <c r="F192" s="16" t="s">
        <v>81</v>
      </c>
      <c r="G192" s="16"/>
      <c r="H192" s="16"/>
      <c r="I192" s="17">
        <f>I194+I193</f>
        <v>1250000</v>
      </c>
      <c r="J192" s="17">
        <f>J194+J193</f>
        <v>1038287.9</v>
      </c>
      <c r="K192" s="17">
        <f>I192-J192</f>
        <v>211712.09999999998</v>
      </c>
      <c r="L192" s="17">
        <f t="shared" ref="L192:N192" si="100">L194</f>
        <v>0</v>
      </c>
      <c r="M192" s="17">
        <f t="shared" si="100"/>
        <v>0</v>
      </c>
      <c r="N192" s="17">
        <f t="shared" si="100"/>
        <v>0</v>
      </c>
      <c r="O192" s="20">
        <f t="shared" ref="O192:O194" si="101">I192-J192-K192</f>
        <v>0</v>
      </c>
      <c r="P192" s="21">
        <f>J192/I192*100</f>
        <v>83.063032000000007</v>
      </c>
      <c r="Q192" s="331"/>
      <c r="R192" s="331"/>
      <c r="S192" s="1"/>
      <c r="T192" s="1"/>
      <c r="U192" s="1"/>
      <c r="V192" s="1"/>
      <c r="W192" s="1"/>
      <c r="X192" s="1"/>
      <c r="Y192" s="1"/>
    </row>
    <row r="193" spans="1:25" s="15" customFormat="1" ht="18.75" customHeight="1" x14ac:dyDescent="0.25">
      <c r="A193" s="99" t="s">
        <v>113</v>
      </c>
      <c r="B193" s="22" t="s">
        <v>81</v>
      </c>
      <c r="C193" s="22" t="s">
        <v>82</v>
      </c>
      <c r="D193" s="22" t="s">
        <v>82</v>
      </c>
      <c r="E193" s="22" t="s">
        <v>83</v>
      </c>
      <c r="F193" s="22" t="s">
        <v>81</v>
      </c>
      <c r="G193" s="22" t="s">
        <v>48</v>
      </c>
      <c r="H193" s="22"/>
      <c r="I193" s="23">
        <v>368049</v>
      </c>
      <c r="J193" s="23">
        <v>156336.9</v>
      </c>
      <c r="K193" s="23">
        <f>I193-J193</f>
        <v>211712.1</v>
      </c>
      <c r="L193" s="292"/>
      <c r="M193" s="290"/>
      <c r="N193" s="289"/>
      <c r="O193" s="25">
        <f t="shared" si="101"/>
        <v>0</v>
      </c>
      <c r="P193" s="26">
        <f>J193/I193*100</f>
        <v>42.47719732970338</v>
      </c>
      <c r="Q193" s="331"/>
      <c r="R193" s="331"/>
      <c r="S193" s="1"/>
      <c r="T193" s="1"/>
      <c r="U193" s="1"/>
      <c r="V193" s="1"/>
      <c r="W193" s="1"/>
      <c r="X193" s="1"/>
      <c r="Y193" s="1"/>
    </row>
    <row r="194" spans="1:25" s="15" customFormat="1" ht="18.75" customHeight="1" x14ac:dyDescent="0.25">
      <c r="A194" s="99" t="s">
        <v>113</v>
      </c>
      <c r="B194" s="22" t="s">
        <v>81</v>
      </c>
      <c r="C194" s="22" t="s">
        <v>82</v>
      </c>
      <c r="D194" s="22" t="s">
        <v>82</v>
      </c>
      <c r="E194" s="22" t="s">
        <v>83</v>
      </c>
      <c r="F194" s="22" t="s">
        <v>81</v>
      </c>
      <c r="G194" s="22" t="s">
        <v>104</v>
      </c>
      <c r="H194" s="22"/>
      <c r="I194" s="23">
        <v>881951</v>
      </c>
      <c r="J194" s="23">
        <v>881951</v>
      </c>
      <c r="K194" s="23">
        <f>I194-J194</f>
        <v>0</v>
      </c>
      <c r="L194" s="292"/>
      <c r="M194" s="290"/>
      <c r="N194" s="289"/>
      <c r="O194" s="25">
        <f t="shared" si="101"/>
        <v>0</v>
      </c>
      <c r="P194" s="26">
        <f>J194/I194*100</f>
        <v>100</v>
      </c>
      <c r="Q194" s="331"/>
      <c r="R194" s="331"/>
      <c r="S194" s="1"/>
      <c r="T194" s="1"/>
      <c r="U194" s="1"/>
      <c r="V194" s="1"/>
      <c r="W194" s="1"/>
      <c r="X194" s="1"/>
      <c r="Y194" s="1"/>
    </row>
    <row r="195" spans="1:25" ht="27.75" customHeight="1" x14ac:dyDescent="0.25">
      <c r="A195" s="77"/>
      <c r="B195" s="78"/>
      <c r="C195" s="78"/>
      <c r="D195" s="78"/>
      <c r="E195" s="78"/>
      <c r="F195" s="78"/>
      <c r="G195" s="1"/>
      <c r="H195" s="1"/>
      <c r="I195" s="1"/>
      <c r="J195" s="1"/>
      <c r="K195" s="1"/>
      <c r="L195" s="73"/>
      <c r="M195" s="74"/>
      <c r="N195" s="75"/>
      <c r="O195" s="75"/>
      <c r="P195" s="75"/>
    </row>
    <row r="196" spans="1:25" ht="40.5" customHeight="1" x14ac:dyDescent="0.25">
      <c r="A196" s="379" t="s">
        <v>181</v>
      </c>
      <c r="B196" s="379"/>
      <c r="C196" s="379"/>
      <c r="D196" s="379"/>
      <c r="E196" s="379"/>
      <c r="F196" s="379"/>
      <c r="G196" s="379"/>
      <c r="H196" s="80"/>
      <c r="I196" s="1"/>
      <c r="J196" s="1"/>
      <c r="K196" s="1"/>
      <c r="L196" s="73"/>
      <c r="M196" s="74"/>
      <c r="N196" s="75"/>
      <c r="O196" s="75"/>
      <c r="P196" s="75"/>
    </row>
    <row r="197" spans="1:25" ht="15" customHeight="1" x14ac:dyDescent="0.25">
      <c r="A197" s="379" t="s">
        <v>177</v>
      </c>
      <c r="B197" s="379"/>
      <c r="C197" s="379"/>
      <c r="D197" s="379"/>
      <c r="E197" s="379"/>
      <c r="F197" s="379"/>
      <c r="G197" s="379"/>
      <c r="H197" s="80"/>
      <c r="I197" s="1"/>
      <c r="J197" s="1"/>
      <c r="K197" s="1"/>
      <c r="L197" s="73"/>
      <c r="M197" s="74"/>
      <c r="N197" s="75"/>
      <c r="O197" s="75"/>
      <c r="P197" s="75"/>
    </row>
    <row r="198" spans="1:25" ht="18.75" x14ac:dyDescent="0.25">
      <c r="A198" s="83"/>
      <c r="B198" s="84"/>
      <c r="C198" s="84"/>
      <c r="D198" s="84"/>
      <c r="E198" s="84"/>
      <c r="F198" s="84"/>
      <c r="G198" s="1"/>
      <c r="H198" s="1"/>
      <c r="I198" s="1"/>
      <c r="J198" s="1"/>
      <c r="K198" s="1"/>
      <c r="L198" s="73"/>
      <c r="M198" s="74"/>
      <c r="N198" s="75"/>
      <c r="O198" s="75"/>
      <c r="P198" s="75"/>
    </row>
    <row r="199" spans="1:25" x14ac:dyDescent="0.25">
      <c r="A199" s="1"/>
      <c r="B199" s="1"/>
      <c r="C199" s="1"/>
      <c r="D199" s="1"/>
      <c r="E199" s="1"/>
      <c r="F199" s="1"/>
      <c r="L199" s="73"/>
      <c r="M199" s="74"/>
      <c r="N199" s="75"/>
      <c r="O199" s="75"/>
      <c r="P199" s="75"/>
    </row>
    <row r="200" spans="1:25" x14ac:dyDescent="0.25">
      <c r="A200" s="1"/>
      <c r="B200" s="1"/>
      <c r="C200" s="1"/>
      <c r="D200" s="1"/>
      <c r="E200" s="1"/>
      <c r="F200" s="1"/>
      <c r="L200" s="73"/>
      <c r="M200" s="74"/>
      <c r="N200" s="75"/>
      <c r="O200" s="75"/>
      <c r="P200" s="75"/>
    </row>
    <row r="201" spans="1:25" x14ac:dyDescent="0.25">
      <c r="A201" s="1"/>
      <c r="B201" s="1"/>
      <c r="C201" s="1"/>
      <c r="D201" s="1"/>
      <c r="E201" s="1"/>
      <c r="F201" s="1"/>
      <c r="J201" s="246">
        <f>SUM(J194+J189+J186+J185+J183+J182+J170+J162+J160+J158+J153+J149+J148+J146+J137+J132+J131+J130+J129+J128+J127+J125+J124+J122+J121+J119+J118+J116+J114++J109+J108+J106+J105+J100+J99+J97+J96++J94+J92+J90+J88+J87+J85+J84+J83+J71+J68+J67+J66+J65+J64+J63+J55+J54+J52+J51+J49+J47+J45+J44+J43+J42+J40+J39+J38+J37+J36+J35+J34+J33+J31+J30+J29+J28+J27+J26+J25+J24+J23+J21+J20+J19+J17+J16+J193+J93+J73)</f>
        <v>95303777.239999995</v>
      </c>
      <c r="L201" s="73"/>
      <c r="M201" s="74"/>
      <c r="N201" s="75"/>
      <c r="O201" s="75"/>
      <c r="P201" s="75"/>
    </row>
    <row r="202" spans="1:25" x14ac:dyDescent="0.25">
      <c r="A202" s="1"/>
      <c r="B202" s="1"/>
      <c r="C202" s="1"/>
      <c r="D202" s="1"/>
      <c r="E202" s="1"/>
      <c r="F202" s="1"/>
      <c r="J202" s="128">
        <v>75541745.430000007</v>
      </c>
    </row>
    <row r="203" spans="1:25" x14ac:dyDescent="0.25">
      <c r="A203" s="1"/>
      <c r="B203" s="1"/>
      <c r="C203" s="1"/>
      <c r="D203" s="1"/>
      <c r="E203" s="1"/>
      <c r="F203" s="1"/>
      <c r="J203" s="246">
        <f>J202-J201</f>
        <v>-19762031.809999987</v>
      </c>
      <c r="L203" s="1"/>
      <c r="M203" s="1"/>
    </row>
    <row r="204" spans="1:25" x14ac:dyDescent="0.25">
      <c r="A204" s="1"/>
      <c r="B204" s="1"/>
      <c r="C204" s="1"/>
      <c r="D204" s="1"/>
      <c r="E204" s="1"/>
      <c r="F204" s="1"/>
      <c r="L204" s="1"/>
      <c r="M204" s="1"/>
    </row>
    <row r="205" spans="1:25" x14ac:dyDescent="0.25">
      <c r="A205" s="1"/>
      <c r="B205" s="1"/>
      <c r="C205" s="1"/>
      <c r="D205" s="1"/>
      <c r="E205" s="1"/>
      <c r="F205" s="1"/>
      <c r="L205" s="1"/>
      <c r="M205" s="1"/>
    </row>
    <row r="206" spans="1:25" x14ac:dyDescent="0.25">
      <c r="A206" s="1"/>
      <c r="B206" s="1"/>
      <c r="C206" s="1"/>
      <c r="D206" s="1"/>
      <c r="E206" s="1"/>
      <c r="F206" s="1"/>
      <c r="L206" s="1"/>
      <c r="M206" s="1"/>
    </row>
    <row r="207" spans="1:25" x14ac:dyDescent="0.25">
      <c r="A207" s="1"/>
      <c r="B207" s="1"/>
      <c r="C207" s="1"/>
      <c r="D207" s="1"/>
      <c r="E207" s="1"/>
      <c r="F207" s="1"/>
    </row>
    <row r="208" spans="1:25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x14ac:dyDescent="0.25">
      <c r="A213" s="1"/>
      <c r="B213" s="1"/>
      <c r="C213" s="1"/>
      <c r="D213" s="1"/>
      <c r="E213" s="1"/>
      <c r="F213" s="1"/>
    </row>
    <row r="214" spans="1:50" x14ac:dyDescent="0.25">
      <c r="A214" s="1"/>
      <c r="B214" s="1"/>
      <c r="C214" s="1"/>
      <c r="D214" s="1"/>
      <c r="E214" s="1"/>
      <c r="F214" s="1"/>
    </row>
    <row r="215" spans="1:50" x14ac:dyDescent="0.25">
      <c r="A215" s="1"/>
      <c r="B215" s="1"/>
      <c r="C215" s="1"/>
      <c r="D215" s="1"/>
      <c r="E215" s="1"/>
      <c r="F215" s="1"/>
    </row>
    <row r="216" spans="1:50" x14ac:dyDescent="0.25">
      <c r="A216" s="1"/>
      <c r="B216" s="1"/>
      <c r="C216" s="1"/>
      <c r="D216" s="1"/>
      <c r="E216" s="1"/>
      <c r="F216" s="1"/>
    </row>
    <row r="217" spans="1:50" x14ac:dyDescent="0.25">
      <c r="A217" s="1"/>
      <c r="B217" s="1"/>
      <c r="C217" s="1"/>
      <c r="D217" s="1"/>
      <c r="E217" s="1"/>
      <c r="F217" s="1"/>
    </row>
    <row r="218" spans="1:50" s="68" customFormat="1" x14ac:dyDescent="0.25">
      <c r="A218" s="1"/>
      <c r="B218" s="1"/>
      <c r="C218" s="1"/>
      <c r="D218" s="1"/>
      <c r="E218" s="1"/>
      <c r="F218" s="1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8" customFormat="1" x14ac:dyDescent="0.25">
      <c r="A219" s="85"/>
      <c r="I219" s="128"/>
      <c r="J219" s="128"/>
      <c r="K219" s="76"/>
      <c r="L219" s="76"/>
      <c r="M219" s="2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8" customFormat="1" x14ac:dyDescent="0.25">
      <c r="A220" s="85"/>
      <c r="I220" s="128"/>
      <c r="J220" s="128"/>
      <c r="K220" s="76"/>
      <c r="L220" s="76"/>
      <c r="M220" s="2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8" customFormat="1" x14ac:dyDescent="0.25">
      <c r="A221" s="85"/>
      <c r="I221" s="128"/>
      <c r="J221" s="128"/>
      <c r="K221" s="76"/>
      <c r="L221" s="76"/>
      <c r="M221" s="2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68" customFormat="1" x14ac:dyDescent="0.25">
      <c r="A222" s="85"/>
      <c r="I222" s="128"/>
      <c r="J222" s="128"/>
      <c r="K222" s="76"/>
      <c r="L222" s="76"/>
      <c r="M222" s="2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68" customFormat="1" x14ac:dyDescent="0.25">
      <c r="A223" s="85"/>
      <c r="I223" s="128"/>
      <c r="J223" s="128"/>
      <c r="K223" s="76"/>
      <c r="L223" s="76"/>
      <c r="M223" s="2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68" customFormat="1" x14ac:dyDescent="0.25">
      <c r="A224" s="85"/>
      <c r="I224" s="128"/>
      <c r="J224" s="128"/>
      <c r="K224" s="76"/>
      <c r="L224" s="76"/>
      <c r="M224" s="2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68" customFormat="1" x14ac:dyDescent="0.25">
      <c r="A225" s="85"/>
      <c r="I225" s="128"/>
      <c r="J225" s="128"/>
      <c r="K225" s="76"/>
      <c r="L225" s="76"/>
      <c r="M225" s="2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68" customFormat="1" x14ac:dyDescent="0.25">
      <c r="A226" s="85"/>
      <c r="I226" s="128"/>
      <c r="J226" s="128"/>
      <c r="K226" s="76"/>
      <c r="L226" s="76"/>
      <c r="M226" s="2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</sheetData>
  <mergeCells count="181"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57:R57"/>
    <mergeCell ref="Q58:R58"/>
    <mergeCell ref="Q59:R59"/>
    <mergeCell ref="Q60:R60"/>
    <mergeCell ref="A74:P74"/>
    <mergeCell ref="Q74:R74"/>
    <mergeCell ref="Q51:R51"/>
    <mergeCell ref="Q52:R52"/>
    <mergeCell ref="Q53:R53"/>
    <mergeCell ref="Q54:R54"/>
    <mergeCell ref="Q55:R55"/>
    <mergeCell ref="Q56:R56"/>
    <mergeCell ref="Q63:R63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93:R93"/>
    <mergeCell ref="N94:O94"/>
    <mergeCell ref="Q94:R94"/>
    <mergeCell ref="Q95:R95"/>
    <mergeCell ref="Q96:R96"/>
    <mergeCell ref="Q97:R97"/>
    <mergeCell ref="Q87:R87"/>
    <mergeCell ref="Q88:R88"/>
    <mergeCell ref="Q89:R89"/>
    <mergeCell ref="Q90:R90"/>
    <mergeCell ref="Q91:R91"/>
    <mergeCell ref="Q92:R92"/>
    <mergeCell ref="Q104:R104"/>
    <mergeCell ref="Q105:R105"/>
    <mergeCell ref="Q106:R106"/>
    <mergeCell ref="Q107:R107"/>
    <mergeCell ref="Q108:R108"/>
    <mergeCell ref="Q109:R109"/>
    <mergeCell ref="Q98:R98"/>
    <mergeCell ref="Q99:R99"/>
    <mergeCell ref="Q100:R100"/>
    <mergeCell ref="Q101:R101"/>
    <mergeCell ref="Q102:R102"/>
    <mergeCell ref="Q103:R103"/>
    <mergeCell ref="Q115:R115"/>
    <mergeCell ref="Q116:R116"/>
    <mergeCell ref="Q117:R117"/>
    <mergeCell ref="Q118:R118"/>
    <mergeCell ref="Q119:R119"/>
    <mergeCell ref="Q120:R120"/>
    <mergeCell ref="A110:P110"/>
    <mergeCell ref="Q110:R110"/>
    <mergeCell ref="Q111:R111"/>
    <mergeCell ref="Q112:R112"/>
    <mergeCell ref="Q113:R113"/>
    <mergeCell ref="Q114:R114"/>
    <mergeCell ref="Q127:R127"/>
    <mergeCell ref="Q128:R128"/>
    <mergeCell ref="Q129:R129"/>
    <mergeCell ref="Q130:R130"/>
    <mergeCell ref="Q131:R131"/>
    <mergeCell ref="Q132:R132"/>
    <mergeCell ref="Q121:R121"/>
    <mergeCell ref="Q122:R122"/>
    <mergeCell ref="Q123:R123"/>
    <mergeCell ref="Q124:R124"/>
    <mergeCell ref="Q125:R125"/>
    <mergeCell ref="Q126:R126"/>
    <mergeCell ref="Q146:R146"/>
    <mergeCell ref="Q147:R149"/>
    <mergeCell ref="Q150:R151"/>
    <mergeCell ref="Q152:R153"/>
    <mergeCell ref="A154:P154"/>
    <mergeCell ref="Q154:R154"/>
    <mergeCell ref="Q133:R135"/>
    <mergeCell ref="Q136:R137"/>
    <mergeCell ref="Q138:R139"/>
    <mergeCell ref="Q140:R141"/>
    <mergeCell ref="Q143:R144"/>
    <mergeCell ref="Q145:R145"/>
    <mergeCell ref="Q161:R161"/>
    <mergeCell ref="Q162:R162"/>
    <mergeCell ref="Q163:R163"/>
    <mergeCell ref="Q164:R164"/>
    <mergeCell ref="Q165:R165"/>
    <mergeCell ref="Q166:R166"/>
    <mergeCell ref="Q155:R155"/>
    <mergeCell ref="Q156:R156"/>
    <mergeCell ref="Q157:R157"/>
    <mergeCell ref="Q158:R158"/>
    <mergeCell ref="Q159:R159"/>
    <mergeCell ref="Q160:R160"/>
    <mergeCell ref="Q173:R173"/>
    <mergeCell ref="Q174:R174"/>
    <mergeCell ref="Q175:R175"/>
    <mergeCell ref="Q176:R176"/>
    <mergeCell ref="Q177:R177"/>
    <mergeCell ref="Q178:R180"/>
    <mergeCell ref="Q167:R167"/>
    <mergeCell ref="Q168:R168"/>
    <mergeCell ref="Q169:R169"/>
    <mergeCell ref="Q170:R170"/>
    <mergeCell ref="Q171:R171"/>
    <mergeCell ref="Q172:R172"/>
    <mergeCell ref="A197:G197"/>
    <mergeCell ref="A191:P191"/>
    <mergeCell ref="Q191:R191"/>
    <mergeCell ref="Q192:R192"/>
    <mergeCell ref="Q193:R193"/>
    <mergeCell ref="Q194:R194"/>
    <mergeCell ref="A196:G196"/>
    <mergeCell ref="Q181:R183"/>
    <mergeCell ref="Q184:R186"/>
    <mergeCell ref="A187:P187"/>
    <mergeCell ref="Q187:R187"/>
    <mergeCell ref="Q188:R188"/>
    <mergeCell ref="Q189:R189"/>
  </mergeCells>
  <printOptions horizontalCentered="1"/>
  <pageMargins left="0.39370078740157483" right="0.39370078740157483" top="0.6692913385826772" bottom="0.6692913385826772" header="0.11811023622047245" footer="0"/>
  <pageSetup paperSize="9" scale="52" fitToHeight="7" orientation="landscape" r:id="rId1"/>
  <rowBreaks count="2" manualBreakCount="2">
    <brk id="37" max="17" man="1"/>
    <brk id="6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X226"/>
  <sheetViews>
    <sheetView showWhiteSpace="0" view="pageBreakPreview" topLeftCell="C1" zoomScale="80" zoomScaleNormal="75" zoomScaleSheetLayoutView="80" workbookViewId="0">
      <pane ySplit="5" topLeftCell="A6" activePane="bottomLeft" state="frozen"/>
      <selection pane="bottomLeft" activeCell="V13" sqref="V13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10.140625" style="1" bestFit="1" customWidth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210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211</v>
      </c>
      <c r="K3" s="353" t="s">
        <v>6</v>
      </c>
      <c r="L3" s="169"/>
      <c r="M3" s="170"/>
      <c r="N3" s="169"/>
      <c r="O3" s="353" t="s">
        <v>7</v>
      </c>
      <c r="P3" s="355" t="s">
        <v>212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>I8+I75+I111+I155+I188+I192</f>
        <v>134844620.74000001</v>
      </c>
      <c r="J6" s="160">
        <f>J8+J75+J111+J155+J188+J192</f>
        <v>105640072.72</v>
      </c>
      <c r="K6" s="160">
        <f>K8+K75+K111+K155+K188+K192</f>
        <v>27998725.670000006</v>
      </c>
      <c r="L6" s="160" t="e">
        <f t="shared" ref="L6:N6" si="0">L8+L75+L111+L155+L188+L192</f>
        <v>#REF!</v>
      </c>
      <c r="M6" s="160" t="e">
        <f t="shared" si="0"/>
        <v>#REF!</v>
      </c>
      <c r="N6" s="160" t="e">
        <f t="shared" si="0"/>
        <v>#REF!</v>
      </c>
      <c r="O6" s="160">
        <f>O8+O75+O111+O155+O188+O192</f>
        <v>1205850.7700000014</v>
      </c>
      <c r="P6" s="163">
        <f>J6/I6*100</f>
        <v>78.342074114835754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</f>
        <v>24541919.789999999</v>
      </c>
      <c r="J8" s="9">
        <f>J9</f>
        <v>21038168.739999998</v>
      </c>
      <c r="K8" s="9">
        <f>K9+K61+K69</f>
        <v>3543254.6700000009</v>
      </c>
      <c r="L8" s="9" t="e">
        <f t="shared" ref="L8:O8" si="1">L9+L61+L69</f>
        <v>#REF!</v>
      </c>
      <c r="M8" s="9" t="e">
        <f t="shared" si="1"/>
        <v>#REF!</v>
      </c>
      <c r="N8" s="9" t="e">
        <f t="shared" si="1"/>
        <v>#REF!</v>
      </c>
      <c r="O8" s="9">
        <f t="shared" si="1"/>
        <v>-39475.2000000021</v>
      </c>
      <c r="P8" s="12">
        <f>J8/I8*100</f>
        <v>85.723402733034519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I10+I41+I46+I48+I50+I53+I59+I56+I61+I69+I72</f>
        <v>24541919.789999999</v>
      </c>
      <c r="J9" s="157">
        <f>J10+J41+J46+J48+J50+J53+J59+J56+J61+J69+J72</f>
        <v>21038168.739999998</v>
      </c>
      <c r="K9" s="157">
        <f>K10+K41+K46+K48+K50+K53+K59+K56+K61+K69+K72</f>
        <v>3540012.6700000009</v>
      </c>
      <c r="L9" s="157" t="e">
        <f t="shared" ref="L9:O9" si="2">L10+L41+L46+L48+L50+L53+L59+L56+L61+L69+L72</f>
        <v>#REF!</v>
      </c>
      <c r="M9" s="157" t="e">
        <f t="shared" si="2"/>
        <v>#REF!</v>
      </c>
      <c r="N9" s="157" t="e">
        <f t="shared" si="2"/>
        <v>#REF!</v>
      </c>
      <c r="O9" s="157">
        <f t="shared" si="2"/>
        <v>-36261.620000002098</v>
      </c>
      <c r="P9" s="157">
        <f>J9/I9*100</f>
        <v>85.723402733034519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>I11</f>
        <v>10840639.619999997</v>
      </c>
      <c r="J10" s="17">
        <f>J11</f>
        <v>9521243.0199999996</v>
      </c>
      <c r="K10" s="17">
        <f>K11</f>
        <v>1319396.5999999999</v>
      </c>
      <c r="L10" s="17" t="e">
        <f t="shared" ref="K10:N11" si="3">L11</f>
        <v>#REF!</v>
      </c>
      <c r="M10" s="17">
        <f t="shared" si="3"/>
        <v>0</v>
      </c>
      <c r="N10" s="17">
        <f t="shared" si="3"/>
        <v>0</v>
      </c>
      <c r="O10" s="20">
        <f>I10-J10-K10</f>
        <v>-2.0954757928848267E-9</v>
      </c>
      <c r="P10" s="21">
        <f>P9</f>
        <v>85.723402733034519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10840639.619999997</v>
      </c>
      <c r="J11" s="28">
        <f>J12</f>
        <v>9521243.0199999996</v>
      </c>
      <c r="K11" s="33">
        <f t="shared" si="3"/>
        <v>1319396.5999999999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ref="O11:O12" si="4">I11-J11-K11</f>
        <v>-2.0954757928848267E-9</v>
      </c>
      <c r="P11" s="26">
        <f t="shared" ref="P11:P60" si="5">J11/I11*100</f>
        <v>87.829162796207797</v>
      </c>
      <c r="Q11" s="352"/>
      <c r="R11" s="352"/>
      <c r="T11" s="278">
        <f>'[1]11.21'!$C$318</f>
        <v>134844620.73999998</v>
      </c>
      <c r="U11" s="227"/>
      <c r="V11" s="277">
        <f>'[1]11.21'!$M$318</f>
        <v>105640072.71999998</v>
      </c>
    </row>
    <row r="12" spans="1:50" ht="23.25" customHeight="1" x14ac:dyDescent="0.3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>I13</f>
        <v>10840639.619999997</v>
      </c>
      <c r="J12" s="35">
        <f>J13</f>
        <v>9521243.0199999996</v>
      </c>
      <c r="K12" s="35">
        <f>K13</f>
        <v>1319396.5999999999</v>
      </c>
      <c r="L12" s="87" t="e">
        <f>L13</f>
        <v>#REF!</v>
      </c>
      <c r="M12" s="176"/>
      <c r="N12" s="177"/>
      <c r="O12" s="88">
        <f t="shared" si="4"/>
        <v>-2.0954757928848267E-9</v>
      </c>
      <c r="P12" s="26">
        <f t="shared" si="5"/>
        <v>87.829162796207797</v>
      </c>
      <c r="Q12" s="352"/>
      <c r="R12" s="352"/>
      <c r="T12" s="279">
        <v>44433</v>
      </c>
      <c r="V12" s="225">
        <f>V11-J6</f>
        <v>0</v>
      </c>
    </row>
    <row r="13" spans="1:50" ht="57" thickBot="1" x14ac:dyDescent="0.3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10840639.619999997</v>
      </c>
      <c r="J13" s="35">
        <f>J14+J32</f>
        <v>9521243.0199999996</v>
      </c>
      <c r="K13" s="35">
        <f>K14+K32</f>
        <v>1319396.5999999999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-2.0954757928848267E-9</v>
      </c>
      <c r="P13" s="26">
        <f t="shared" si="5"/>
        <v>87.829162796207797</v>
      </c>
      <c r="Q13" s="352"/>
      <c r="R13" s="352"/>
      <c r="T13" s="280">
        <v>125716120.73999999</v>
      </c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9440178.2399999984</v>
      </c>
      <c r="J14" s="28">
        <f>J15+J22+J27+J29+J30+J31+J21+J18+J28</f>
        <v>8282097.6899999995</v>
      </c>
      <c r="K14" s="28">
        <f>K15+K22+K27+K29+K30+K31+K21+K18+K28</f>
        <v>1158080.5499999998</v>
      </c>
      <c r="L14" s="28" t="e">
        <f t="shared" ref="L14:N14" si="6">L15+L22+L27+L29+L30+L31+L21+L18+L28</f>
        <v>#REF!</v>
      </c>
      <c r="M14" s="28">
        <f t="shared" si="6"/>
        <v>-1539432.5599999998</v>
      </c>
      <c r="N14" s="28">
        <f t="shared" si="6"/>
        <v>3240202.91</v>
      </c>
      <c r="O14" s="28">
        <f>O15+O22+O27+O29+O30+O31+O21+O18+O28</f>
        <v>0</v>
      </c>
      <c r="P14" s="26">
        <f t="shared" si="5"/>
        <v>87.73242919193018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2519209.0699999998</v>
      </c>
      <c r="K15" s="28">
        <f>K16+K17</f>
        <v>404163.39</v>
      </c>
      <c r="L15" s="28">
        <f t="shared" ref="L15:N15" si="7">L16+L17+L18</f>
        <v>1743748.21</v>
      </c>
      <c r="M15" s="28">
        <f t="shared" si="7"/>
        <v>-1496454.7</v>
      </c>
      <c r="N15" s="28">
        <f t="shared" si="7"/>
        <v>3240202.91</v>
      </c>
      <c r="O15" s="28">
        <f>O16+O17</f>
        <v>0</v>
      </c>
      <c r="P15" s="26">
        <f t="shared" si="5"/>
        <v>86.174755508232423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1991041.72</v>
      </c>
      <c r="K16" s="100">
        <f>I16-J16</f>
        <v>247293.51</v>
      </c>
      <c r="L16" s="100">
        <f t="shared" ref="L16:N16" si="8">J16-K16</f>
        <v>1743748.21</v>
      </c>
      <c r="M16" s="100">
        <f t="shared" si="8"/>
        <v>-1496454.7</v>
      </c>
      <c r="N16" s="100">
        <f t="shared" si="8"/>
        <v>3240202.91</v>
      </c>
      <c r="O16" s="153">
        <f>I16-J16-K16</f>
        <v>0</v>
      </c>
      <c r="P16" s="26">
        <f t="shared" si="5"/>
        <v>88.951900203080839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528167.35</v>
      </c>
      <c r="K17" s="100">
        <f>I17-J17</f>
        <v>156869.88</v>
      </c>
      <c r="L17" s="165"/>
      <c r="M17" s="176"/>
      <c r="N17" s="177"/>
      <c r="O17" s="153">
        <f t="shared" ref="O17:O21" si="9">I17-J17-K17</f>
        <v>0</v>
      </c>
      <c r="P17" s="26">
        <f t="shared" si="5"/>
        <v>77.100532185674055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66230</v>
      </c>
      <c r="J18" s="33">
        <f t="shared" ref="J18:O18" si="10">J19+J20</f>
        <v>66230</v>
      </c>
      <c r="K18" s="28">
        <f t="shared" si="10"/>
        <v>0</v>
      </c>
      <c r="L18" s="28">
        <f t="shared" si="10"/>
        <v>0</v>
      </c>
      <c r="M18" s="28">
        <f t="shared" si="10"/>
        <v>0</v>
      </c>
      <c r="N18" s="28">
        <f t="shared" si="10"/>
        <v>0</v>
      </c>
      <c r="O18" s="28">
        <f t="shared" si="10"/>
        <v>0</v>
      </c>
      <c r="P18" s="26">
        <f t="shared" si="5"/>
        <v>100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0" si="11">I19-J19</f>
        <v>0</v>
      </c>
      <c r="L19" s="28"/>
      <c r="M19" s="28"/>
      <c r="N19" s="28"/>
      <c r="O19" s="35">
        <f t="shared" si="9"/>
        <v>0</v>
      </c>
      <c r="P19" s="26">
        <v>0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23">
        <v>66230</v>
      </c>
      <c r="J20" s="35">
        <f>27189+39041</f>
        <v>66230</v>
      </c>
      <c r="K20" s="35">
        <f t="shared" si="11"/>
        <v>0</v>
      </c>
      <c r="L20" s="28"/>
      <c r="M20" s="28"/>
      <c r="N20" s="28"/>
      <c r="O20" s="35">
        <f t="shared" si="9"/>
        <v>0</v>
      </c>
      <c r="P20" s="26">
        <f t="shared" si="5"/>
        <v>100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33">
        <v>30000</v>
      </c>
      <c r="J21" s="28">
        <v>22306.86</v>
      </c>
      <c r="K21" s="28">
        <f>I21-J21</f>
        <v>7693.1399999999994</v>
      </c>
      <c r="L21" s="166" t="e">
        <f>L22+L23</f>
        <v>#REF!</v>
      </c>
      <c r="M21" s="180"/>
      <c r="N21" s="181"/>
      <c r="O21" s="88">
        <f t="shared" si="9"/>
        <v>0</v>
      </c>
      <c r="P21" s="26">
        <f t="shared" si="5"/>
        <v>74.356200000000001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5343832.6399999997</v>
      </c>
      <c r="J22" s="33">
        <f t="shared" ref="J22:O22" si="12">J23+J25+J26+J24</f>
        <v>4597608.62</v>
      </c>
      <c r="K22" s="28">
        <f t="shared" si="12"/>
        <v>746224.0199999999</v>
      </c>
      <c r="L22" s="28" t="e">
        <f t="shared" si="12"/>
        <v>#REF!</v>
      </c>
      <c r="M22" s="28">
        <f t="shared" si="12"/>
        <v>0</v>
      </c>
      <c r="N22" s="28">
        <f t="shared" si="12"/>
        <v>0</v>
      </c>
      <c r="O22" s="28">
        <f t="shared" si="12"/>
        <v>0</v>
      </c>
      <c r="P22" s="26">
        <f t="shared" si="5"/>
        <v>86.035789848388674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f>155350.32-30000</f>
        <v>125350.32</v>
      </c>
      <c r="J23" s="23">
        <v>111377.7</v>
      </c>
      <c r="K23" s="35">
        <f>I23-J23</f>
        <v>13972.62000000001</v>
      </c>
      <c r="L23" s="165" t="e">
        <f>#REF!</f>
        <v>#REF!</v>
      </c>
      <c r="M23" s="176"/>
      <c r="N23" s="177"/>
      <c r="O23" s="153">
        <f>I23-J23-K23</f>
        <v>0</v>
      </c>
      <c r="P23" s="26">
        <f t="shared" si="5"/>
        <v>88.853143733498243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0</v>
      </c>
      <c r="J24" s="23">
        <v>0</v>
      </c>
      <c r="K24" s="35">
        <f>I24-J24</f>
        <v>0</v>
      </c>
      <c r="L24" s="165" t="e">
        <f>#REF!</f>
        <v>#REF!</v>
      </c>
      <c r="M24" s="176"/>
      <c r="N24" s="177"/>
      <c r="O24" s="153">
        <f t="shared" ref="O24:O40" si="13">I24-J24-K24</f>
        <v>0</v>
      </c>
      <c r="P24" s="26"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f>2218116.29+640000+400000</f>
        <v>3258116.29</v>
      </c>
      <c r="J25" s="23">
        <v>3144526.89</v>
      </c>
      <c r="K25" s="35">
        <f>I25-J25</f>
        <v>113589.39999999991</v>
      </c>
      <c r="L25" s="87" t="e">
        <f>SUM(#REF!)</f>
        <v>#REF!</v>
      </c>
      <c r="M25" s="176"/>
      <c r="N25" s="177"/>
      <c r="O25" s="153">
        <f t="shared" si="13"/>
        <v>0</v>
      </c>
      <c r="P25" s="26">
        <f t="shared" si="5"/>
        <v>96.513648074851261</v>
      </c>
      <c r="Q25" s="347" t="s">
        <v>208</v>
      </c>
      <c r="R25" s="348"/>
    </row>
    <row r="26" spans="1:18" ht="47.2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f>1830794.03+129572</f>
        <v>1960366.03</v>
      </c>
      <c r="J26" s="23">
        <f>1253871.03+87833</f>
        <v>1341704.03</v>
      </c>
      <c r="K26" s="23">
        <f t="shared" ref="K26:K31" si="14">I26-J26</f>
        <v>618662</v>
      </c>
      <c r="L26" s="24" t="e">
        <f>#REF!</f>
        <v>#REF!</v>
      </c>
      <c r="M26" s="182"/>
      <c r="N26" s="183"/>
      <c r="O26" s="25">
        <f t="shared" si="13"/>
        <v>0</v>
      </c>
      <c r="P26" s="26">
        <f t="shared" si="5"/>
        <v>68.441505793690993</v>
      </c>
      <c r="Q26" s="347" t="s">
        <v>207</v>
      </c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f>1141625.86-67004.86</f>
        <v>1074621</v>
      </c>
      <c r="J27" s="23">
        <v>1074621</v>
      </c>
      <c r="K27" s="23">
        <f t="shared" si="14"/>
        <v>0</v>
      </c>
      <c r="L27" s="24">
        <f t="shared" ref="L27:L28" si="15">L29+L30</f>
        <v>45000</v>
      </c>
      <c r="M27" s="182"/>
      <c r="N27" s="183"/>
      <c r="O27" s="25">
        <f t="shared" si="13"/>
        <v>0</v>
      </c>
      <c r="P27" s="26">
        <f t="shared" si="5"/>
        <v>100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100</v>
      </c>
      <c r="J28" s="23">
        <v>100</v>
      </c>
      <c r="K28" s="23">
        <f t="shared" si="14"/>
        <v>0</v>
      </c>
      <c r="L28" s="24">
        <f t="shared" si="15"/>
        <v>30000</v>
      </c>
      <c r="M28" s="182"/>
      <c r="N28" s="183"/>
      <c r="O28" s="25">
        <f t="shared" si="13"/>
        <v>0</v>
      </c>
      <c r="P28" s="26">
        <f t="shared" si="5"/>
        <v>100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f>1213.52+500</f>
        <v>1713.52</v>
      </c>
      <c r="J29" s="230">
        <v>1713.52</v>
      </c>
      <c r="K29" s="23">
        <f t="shared" si="14"/>
        <v>0</v>
      </c>
      <c r="L29" s="38">
        <v>15000</v>
      </c>
      <c r="M29" s="182">
        <f>J29-L29</f>
        <v>-13286.48</v>
      </c>
      <c r="N29" s="183"/>
      <c r="O29" s="25">
        <f t="shared" si="13"/>
        <v>0</v>
      </c>
      <c r="P29" s="26">
        <f t="shared" si="5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v>308.62</v>
      </c>
      <c r="J30" s="23">
        <v>308.62</v>
      </c>
      <c r="K30" s="23">
        <f t="shared" si="14"/>
        <v>0</v>
      </c>
      <c r="L30" s="38">
        <v>30000</v>
      </c>
      <c r="M30" s="182">
        <f>J30-L30</f>
        <v>-29691.38</v>
      </c>
      <c r="N30" s="183"/>
      <c r="O30" s="25">
        <f t="shared" si="13"/>
        <v>0</v>
      </c>
      <c r="P30" s="26">
        <f t="shared" si="5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4"/>
        <v>0</v>
      </c>
      <c r="L31" s="38"/>
      <c r="M31" s="182"/>
      <c r="N31" s="183"/>
      <c r="O31" s="25">
        <f t="shared" si="13"/>
        <v>0</v>
      </c>
      <c r="P31" s="26">
        <v>0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1400461.38</v>
      </c>
      <c r="J32" s="33">
        <f>J34+J33+J37+J38+J39+J40+J35+J36</f>
        <v>1239145.33</v>
      </c>
      <c r="K32" s="33">
        <f>K34+K33+K37+K38+K39+K40+K35+K36</f>
        <v>161316.04999999999</v>
      </c>
      <c r="L32" s="33" t="e">
        <f t="shared" ref="L32:N32" si="16">L34+L33+L37+L38+L39+L40</f>
        <v>#REF!</v>
      </c>
      <c r="M32" s="33">
        <f t="shared" si="16"/>
        <v>-4516033.04</v>
      </c>
      <c r="N32" s="33">
        <f t="shared" si="16"/>
        <v>0</v>
      </c>
      <c r="O32" s="33">
        <f>O34+O33+O37+O38+O39+O40</f>
        <v>0</v>
      </c>
      <c r="P32" s="31">
        <f t="shared" si="5"/>
        <v>88.481221095864854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f>642896.05+173844.6</f>
        <v>816740.65</v>
      </c>
      <c r="J33" s="23">
        <v>748595.64</v>
      </c>
      <c r="K33" s="23">
        <f>I33-J33</f>
        <v>68145.010000000009</v>
      </c>
      <c r="L33" s="39" t="e">
        <f>#REF!+#REF!+L79+#REF!+#REF!</f>
        <v>#REF!</v>
      </c>
      <c r="M33" s="182"/>
      <c r="N33" s="183"/>
      <c r="O33" s="25">
        <f>I33-J33-K33</f>
        <v>0</v>
      </c>
      <c r="P33" s="26">
        <f t="shared" si="5"/>
        <v>91.656468917030139</v>
      </c>
      <c r="Q33" s="347" t="s">
        <v>206</v>
      </c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20000</v>
      </c>
      <c r="J34" s="23">
        <v>0</v>
      </c>
      <c r="K34" s="23">
        <f t="shared" ref="K34:K37" si="17">I34-J34</f>
        <v>20000</v>
      </c>
      <c r="L34" s="23">
        <f t="shared" ref="L34:N34" si="18">L37+L39+L40+L38</f>
        <v>2501159.4</v>
      </c>
      <c r="M34" s="23">
        <f t="shared" si="18"/>
        <v>-2258016.52</v>
      </c>
      <c r="N34" s="23">
        <f t="shared" si="18"/>
        <v>0</v>
      </c>
      <c r="O34" s="25">
        <f t="shared" si="13"/>
        <v>0</v>
      </c>
      <c r="P34" s="26">
        <f t="shared" si="5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3"/>
        <v>0</v>
      </c>
      <c r="P35" s="26">
        <v>0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238.5</v>
      </c>
      <c r="J36" s="34">
        <v>238.5</v>
      </c>
      <c r="K36" s="23">
        <f>I36-J36</f>
        <v>0</v>
      </c>
      <c r="L36" s="97"/>
      <c r="M36" s="98"/>
      <c r="N36" s="98"/>
      <c r="O36" s="25">
        <f t="shared" si="13"/>
        <v>0</v>
      </c>
      <c r="P36" s="26">
        <f t="shared" si="5"/>
        <v>100</v>
      </c>
      <c r="Q36" s="303"/>
      <c r="R36" s="304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f>150000-56138.52</f>
        <v>93861.48000000001</v>
      </c>
      <c r="J37" s="34">
        <v>73861.48</v>
      </c>
      <c r="K37" s="23">
        <f t="shared" si="17"/>
        <v>20000.000000000015</v>
      </c>
      <c r="L37" s="38">
        <v>1178466</v>
      </c>
      <c r="M37" s="182">
        <f>J37-L37</f>
        <v>-1104604.52</v>
      </c>
      <c r="N37" s="183"/>
      <c r="O37" s="25">
        <f t="shared" si="13"/>
        <v>0</v>
      </c>
      <c r="P37" s="26">
        <f t="shared" si="5"/>
        <v>78.692004430358438</v>
      </c>
      <c r="Q37" s="347"/>
      <c r="R37" s="348"/>
    </row>
    <row r="38" spans="1:50" s="15" customFormat="1" ht="31.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f>90000-64946</f>
        <v>25054</v>
      </c>
      <c r="J38" s="34">
        <v>25054</v>
      </c>
      <c r="K38" s="23">
        <v>0</v>
      </c>
      <c r="L38" s="38">
        <v>1178466</v>
      </c>
      <c r="M38" s="182">
        <f>J38-L38</f>
        <v>-1153412</v>
      </c>
      <c r="N38" s="183"/>
      <c r="O38" s="25">
        <f t="shared" si="13"/>
        <v>0</v>
      </c>
      <c r="P38" s="26">
        <f t="shared" si="5"/>
        <v>100</v>
      </c>
      <c r="Q38" s="388"/>
      <c r="R38" s="388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f>537064.22-115412.47</f>
        <v>421651.75</v>
      </c>
      <c r="J39" s="34">
        <v>368480.71</v>
      </c>
      <c r="K39" s="23">
        <f>I39-J39</f>
        <v>53171.039999999979</v>
      </c>
      <c r="L39" s="38"/>
      <c r="M39" s="182"/>
      <c r="N39" s="183"/>
      <c r="O39" s="25">
        <f t="shared" si="13"/>
        <v>0</v>
      </c>
      <c r="P39" s="26">
        <f t="shared" si="5"/>
        <v>87.389821102367065</v>
      </c>
      <c r="Q39" s="388"/>
      <c r="R39" s="38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f>40000-17085</f>
        <v>22915</v>
      </c>
      <c r="J40" s="34">
        <v>22915</v>
      </c>
      <c r="K40" s="23">
        <v>0</v>
      </c>
      <c r="L40" s="38">
        <f>88938.77+50000+5288.63</f>
        <v>144227.40000000002</v>
      </c>
      <c r="M40" s="184"/>
      <c r="N40" s="185"/>
      <c r="O40" s="90">
        <f t="shared" si="13"/>
        <v>0</v>
      </c>
      <c r="P40" s="26">
        <f>J40/I40*100</f>
        <v>100</v>
      </c>
      <c r="Q40" s="388"/>
      <c r="R40" s="38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542799</v>
      </c>
      <c r="K41" s="17">
        <f>K42+K44+K45+K43</f>
        <v>58656.840000000018</v>
      </c>
      <c r="L41" s="42"/>
      <c r="M41" s="186"/>
      <c r="N41" s="187"/>
      <c r="O41" s="20">
        <f>I41-K41-J41</f>
        <v>0</v>
      </c>
      <c r="P41" s="21">
        <f>J41/I41*100</f>
        <v>90.247523409199928</v>
      </c>
      <c r="Q41" s="331"/>
      <c r="R41" s="331"/>
      <c r="S41" s="29">
        <f>S42+S44</f>
        <v>333676.99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429818.49</v>
      </c>
      <c r="K42" s="35">
        <f>I42-J42</f>
        <v>39432.210000000021</v>
      </c>
      <c r="L42" s="45"/>
      <c r="M42" s="188"/>
      <c r="N42" s="189"/>
      <c r="O42" s="25">
        <f>I42-K42-J42</f>
        <v>0</v>
      </c>
      <c r="P42" s="26">
        <f t="shared" si="5"/>
        <v>91.596771192882613</v>
      </c>
      <c r="Q42" s="347"/>
      <c r="R42" s="348"/>
      <c r="S42" s="29">
        <f>T42-K42</f>
        <v>282838.99</v>
      </c>
      <c r="T42" s="1">
        <f>292753+(4919.7*3*2)</f>
        <v>322271.2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59667.89</v>
      </c>
      <c r="K43" s="35">
        <f>I43-J43</f>
        <v>16203.25</v>
      </c>
      <c r="L43" s="45"/>
      <c r="M43" s="188"/>
      <c r="N43" s="189"/>
      <c r="O43" s="25">
        <f>I43-K43-J43</f>
        <v>0</v>
      </c>
      <c r="P43" s="26">
        <f t="shared" si="5"/>
        <v>78.643724082701269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51336</v>
      </c>
      <c r="K44" s="35">
        <f t="shared" ref="K44:K45" si="19">I44-J44</f>
        <v>498</v>
      </c>
      <c r="L44" s="45"/>
      <c r="M44" s="188"/>
      <c r="N44" s="189"/>
      <c r="O44" s="25">
        <f>I44-K44-J44</f>
        <v>0</v>
      </c>
      <c r="P44" s="26">
        <f t="shared" si="5"/>
        <v>99.039240652853351</v>
      </c>
      <c r="Q44" s="331"/>
      <c r="R44" s="331"/>
      <c r="S44" s="29">
        <f>T44-K44</f>
        <v>50838</v>
      </c>
      <c r="T44" s="1">
        <f>8556*6</f>
        <v>51336</v>
      </c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1976.62</v>
      </c>
      <c r="K45" s="35">
        <f t="shared" si="19"/>
        <v>2523.38</v>
      </c>
      <c r="L45" s="24" t="e">
        <f t="shared" ref="L45" si="20">L46+L47</f>
        <v>#REF!</v>
      </c>
      <c r="M45" s="182"/>
      <c r="N45" s="183"/>
      <c r="O45" s="25">
        <f t="shared" ref="O45" si="21">I45-J45-K45</f>
        <v>0</v>
      </c>
      <c r="P45" s="26">
        <f t="shared" si="5"/>
        <v>43.924888888888887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1460000</v>
      </c>
      <c r="J46" s="17">
        <f t="shared" ref="J46:O46" si="22">J47</f>
        <v>1453126.84</v>
      </c>
      <c r="K46" s="17">
        <f>K47</f>
        <v>52873.159999999916</v>
      </c>
      <c r="L46" s="17" t="e">
        <f t="shared" si="22"/>
        <v>#REF!</v>
      </c>
      <c r="M46" s="17" t="e">
        <f t="shared" si="22"/>
        <v>#REF!</v>
      </c>
      <c r="N46" s="17" t="e">
        <f t="shared" si="22"/>
        <v>#REF!</v>
      </c>
      <c r="O46" s="17">
        <f t="shared" si="22"/>
        <v>-46000</v>
      </c>
      <c r="P46" s="21">
        <f t="shared" si="5"/>
        <v>99.529235616438356</v>
      </c>
      <c r="Q46" s="380"/>
      <c r="R46" s="3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f>1250000+210000</f>
        <v>1460000</v>
      </c>
      <c r="J47" s="23">
        <v>1453126.84</v>
      </c>
      <c r="K47" s="23">
        <f>I47-J47+46000</f>
        <v>52873.159999999916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5">
        <f>I47-J47-K47</f>
        <v>-46000</v>
      </c>
      <c r="P47" s="26">
        <f t="shared" si="5"/>
        <v>99.529235616438356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11234552.800000001</v>
      </c>
      <c r="J48" s="17">
        <f t="shared" ref="J48:K48" si="23">J49</f>
        <v>9147741.7699999996</v>
      </c>
      <c r="K48" s="17">
        <f t="shared" si="23"/>
        <v>2086811.0300000012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4">I48-J48-K48</f>
        <v>0</v>
      </c>
      <c r="P48" s="17">
        <f>P49</f>
        <v>81.425063666085578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f>11444552.8-210000</f>
        <v>11234552.800000001</v>
      </c>
      <c r="J49" s="34">
        <v>9147741.7699999996</v>
      </c>
      <c r="K49" s="36">
        <f>I49-J49</f>
        <v>2086811.0300000012</v>
      </c>
      <c r="L49" s="37"/>
      <c r="M49" s="182"/>
      <c r="N49" s="183"/>
      <c r="O49" s="25">
        <f>I49-J49-K49</f>
        <v>0</v>
      </c>
      <c r="P49" s="26">
        <f>J49/I49*100</f>
        <v>81.425063666085578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5">J51+J52</f>
        <v>9831.24</v>
      </c>
      <c r="K50" s="17">
        <f t="shared" si="25"/>
        <v>3537.7799999999997</v>
      </c>
      <c r="L50" s="42"/>
      <c r="M50" s="186"/>
      <c r="N50" s="187"/>
      <c r="O50" s="20">
        <f>I50-J50-K50</f>
        <v>0</v>
      </c>
      <c r="P50" s="21">
        <f t="shared" si="5"/>
        <v>73.537476942962158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7760.07</v>
      </c>
      <c r="K51" s="35">
        <f>I51-J51</f>
        <v>2508</v>
      </c>
      <c r="L51" s="93"/>
      <c r="M51" s="188"/>
      <c r="N51" s="189"/>
      <c r="O51" s="25">
        <f t="shared" ref="O51:O52" si="26">I51-J51-K51</f>
        <v>0</v>
      </c>
      <c r="P51" s="26">
        <f t="shared" si="5"/>
        <v>75.574767215260508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2071.17</v>
      </c>
      <c r="K52" s="35">
        <f>I52-J52</f>
        <v>1029.7799999999997</v>
      </c>
      <c r="L52" s="93"/>
      <c r="M52" s="188"/>
      <c r="N52" s="189"/>
      <c r="O52" s="25">
        <f t="shared" si="26"/>
        <v>0</v>
      </c>
      <c r="P52" s="26">
        <f t="shared" si="5"/>
        <v>66.791467131040491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7">J54+J55</f>
        <v>63192.87</v>
      </c>
      <c r="K53" s="17">
        <f t="shared" si="27"/>
        <v>12205.789999999994</v>
      </c>
      <c r="L53" s="42"/>
      <c r="M53" s="186"/>
      <c r="N53" s="187"/>
      <c r="O53" s="20">
        <f>I53-J53-K53</f>
        <v>12951.96</v>
      </c>
      <c r="P53" s="21">
        <f t="shared" si="5"/>
        <v>71.525100785936772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67857.62</v>
      </c>
      <c r="J54" s="34">
        <v>48535.23</v>
      </c>
      <c r="K54" s="35">
        <f>I54-J54-9947.74</f>
        <v>9374.6499999999924</v>
      </c>
      <c r="L54" s="93"/>
      <c r="M54" s="188"/>
      <c r="N54" s="189"/>
      <c r="O54" s="25">
        <f t="shared" ref="O54:O55" si="28">I54-J54-K54</f>
        <v>9947.74</v>
      </c>
      <c r="P54" s="26">
        <f t="shared" si="5"/>
        <v>71.525099170881631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20493</v>
      </c>
      <c r="J55" s="34">
        <v>14657.64</v>
      </c>
      <c r="K55" s="35">
        <f>I55-J55-3004.22</f>
        <v>2831.1400000000008</v>
      </c>
      <c r="L55" s="93"/>
      <c r="M55" s="188"/>
      <c r="N55" s="189"/>
      <c r="O55" s="25">
        <f t="shared" si="28"/>
        <v>3004.22</v>
      </c>
      <c r="P55" s="26">
        <f t="shared" si="5"/>
        <v>71.525106133801785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9">J57+J58</f>
        <v>0</v>
      </c>
      <c r="K56" s="17">
        <f t="shared" si="29"/>
        <v>0</v>
      </c>
      <c r="L56" s="42"/>
      <c r="M56" s="186"/>
      <c r="N56" s="187"/>
      <c r="O56" s="20">
        <f>I56-J56-K56</f>
        <v>0</v>
      </c>
      <c r="P56" s="21" t="e">
        <f t="shared" si="5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30">I57-J57-K57</f>
        <v>0</v>
      </c>
      <c r="P57" s="26" t="e">
        <f t="shared" si="5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30"/>
        <v>0</v>
      </c>
      <c r="P58" s="26" t="e">
        <f t="shared" si="5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31">K60</f>
        <v>0</v>
      </c>
      <c r="L59" s="17" t="e">
        <f t="shared" si="31"/>
        <v>#REF!</v>
      </c>
      <c r="M59" s="17">
        <f t="shared" si="31"/>
        <v>0</v>
      </c>
      <c r="N59" s="17">
        <f t="shared" si="31"/>
        <v>0</v>
      </c>
      <c r="O59" s="20">
        <f>I59-J59-K59</f>
        <v>0</v>
      </c>
      <c r="P59" s="21" t="e">
        <f t="shared" si="5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5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I64+I65+I66+I67+I68+I62</f>
        <v>217600.53</v>
      </c>
      <c r="J61" s="17">
        <f>J64+J65+J66+J67+J68+J62</f>
        <v>217573</v>
      </c>
      <c r="K61" s="17">
        <f t="shared" ref="K61:O61" si="32">K64+K65+K66+K67+K68+K62</f>
        <v>3241.9999999999986</v>
      </c>
      <c r="L61" s="17" t="e">
        <f t="shared" si="32"/>
        <v>#REF!</v>
      </c>
      <c r="M61" s="17" t="e">
        <f t="shared" si="32"/>
        <v>#REF!</v>
      </c>
      <c r="N61" s="17" t="e">
        <f t="shared" si="32"/>
        <v>#REF!</v>
      </c>
      <c r="O61" s="17">
        <f t="shared" si="32"/>
        <v>-3214.47</v>
      </c>
      <c r="P61" s="21">
        <f>J61/I61*100</f>
        <v>99.987348376403304</v>
      </c>
      <c r="Q61" s="307"/>
      <c r="R61" s="308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26581.53</v>
      </c>
      <c r="J62" s="44">
        <f>J63</f>
        <v>26554</v>
      </c>
      <c r="K62" s="33">
        <f>K63</f>
        <v>3241.9999999999986</v>
      </c>
      <c r="L62" s="92"/>
      <c r="M62" s="184"/>
      <c r="N62" s="185"/>
      <c r="O62" s="30">
        <f t="shared" ref="O62:O66" si="33">I62-J62-K62</f>
        <v>-3214.47</v>
      </c>
      <c r="P62" s="31">
        <f t="shared" ref="P62:P68" si="34">J62/I62*100</f>
        <v>99.896431845721452</v>
      </c>
      <c r="Q62" s="309"/>
      <c r="R62" s="310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26581.53</v>
      </c>
      <c r="J63" s="23">
        <v>26554</v>
      </c>
      <c r="K63" s="34">
        <f>I63-J63+3214.47</f>
        <v>3241.9999999999986</v>
      </c>
      <c r="L63" s="24"/>
      <c r="M63" s="182"/>
      <c r="N63" s="183"/>
      <c r="O63" s="25">
        <f t="shared" si="33"/>
        <v>-3214.47</v>
      </c>
      <c r="P63" s="26">
        <f t="shared" si="34"/>
        <v>99.896431845721452</v>
      </c>
      <c r="Q63" s="389" t="s">
        <v>209</v>
      </c>
      <c r="R63" s="390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172367.78</v>
      </c>
      <c r="J64" s="23">
        <v>172367.78</v>
      </c>
      <c r="K64" s="34">
        <f>I64-J64</f>
        <v>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si="33"/>
        <v>0</v>
      </c>
      <c r="P64" s="26">
        <f t="shared" si="34"/>
        <v>100</v>
      </c>
      <c r="Q64" s="309"/>
      <c r="R64" s="310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3986.5</v>
      </c>
      <c r="J65" s="23">
        <v>3986.5</v>
      </c>
      <c r="K65" s="34">
        <f t="shared" ref="K65:K68" si="35">I65-J65</f>
        <v>0</v>
      </c>
      <c r="L65" s="38">
        <v>107900</v>
      </c>
      <c r="M65" s="182"/>
      <c r="N65" s="183"/>
      <c r="O65" s="25">
        <f t="shared" si="33"/>
        <v>0</v>
      </c>
      <c r="P65" s="26">
        <f t="shared" si="34"/>
        <v>100</v>
      </c>
      <c r="Q65" s="309"/>
      <c r="R65" s="31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x14ac:dyDescent="0.25">
      <c r="A66" s="99" t="s">
        <v>113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114</v>
      </c>
      <c r="H66" s="22"/>
      <c r="I66" s="23">
        <v>0</v>
      </c>
      <c r="J66" s="23">
        <v>0</v>
      </c>
      <c r="K66" s="34">
        <f t="shared" si="35"/>
        <v>0</v>
      </c>
      <c r="L66" s="45"/>
      <c r="M66" s="188"/>
      <c r="N66" s="189"/>
      <c r="O66" s="25">
        <f t="shared" si="33"/>
        <v>0</v>
      </c>
      <c r="P66" s="26" t="e">
        <f t="shared" si="34"/>
        <v>#DIV/0!</v>
      </c>
      <c r="Q66" s="309"/>
      <c r="R66" s="310"/>
    </row>
    <row r="67" spans="1:50" s="15" customFormat="1" ht="37.5" x14ac:dyDescent="0.25">
      <c r="A67" s="175" t="s">
        <v>109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104</v>
      </c>
      <c r="H67" s="22"/>
      <c r="I67" s="23">
        <v>14664.72</v>
      </c>
      <c r="J67" s="23">
        <v>14664.72</v>
      </c>
      <c r="K67" s="34">
        <f t="shared" si="35"/>
        <v>0</v>
      </c>
      <c r="L67" s="38">
        <v>1178466</v>
      </c>
      <c r="M67" s="182">
        <f>J67-L67</f>
        <v>-1163801.28</v>
      </c>
      <c r="N67" s="183"/>
      <c r="O67" s="25">
        <f>I67-J67-K67</f>
        <v>0</v>
      </c>
      <c r="P67" s="26">
        <v>0</v>
      </c>
      <c r="Q67" s="309"/>
      <c r="R67" s="310"/>
    </row>
    <row r="68" spans="1:50" ht="37.5" x14ac:dyDescent="0.25">
      <c r="A68" s="175" t="s">
        <v>110</v>
      </c>
      <c r="B68" s="22" t="s">
        <v>9</v>
      </c>
      <c r="C68" s="22" t="s">
        <v>12</v>
      </c>
      <c r="D68" s="22" t="s">
        <v>12</v>
      </c>
      <c r="E68" s="22" t="s">
        <v>134</v>
      </c>
      <c r="F68" s="22" t="s">
        <v>22</v>
      </c>
      <c r="G68" s="22" t="s">
        <v>105</v>
      </c>
      <c r="H68" s="22"/>
      <c r="I68" s="23">
        <v>0</v>
      </c>
      <c r="J68" s="23">
        <v>0</v>
      </c>
      <c r="K68" s="34">
        <f t="shared" si="35"/>
        <v>0</v>
      </c>
      <c r="L68" s="45" t="e">
        <f>L107</f>
        <v>#REF!</v>
      </c>
      <c r="M68" s="192"/>
      <c r="N68" s="193"/>
      <c r="O68" s="25">
        <f>I68-J68-K68</f>
        <v>0</v>
      </c>
      <c r="P68" s="26" t="e">
        <f t="shared" si="34"/>
        <v>#DIV/0!</v>
      </c>
      <c r="Q68" s="309"/>
      <c r="R68" s="310"/>
    </row>
    <row r="69" spans="1:50" ht="121.5" customHeight="1" x14ac:dyDescent="0.25">
      <c r="A69" s="190" t="s">
        <v>64</v>
      </c>
      <c r="B69" s="41" t="s">
        <v>9</v>
      </c>
      <c r="C69" s="41" t="s">
        <v>12</v>
      </c>
      <c r="D69" s="41" t="s">
        <v>12</v>
      </c>
      <c r="E69" s="41" t="s">
        <v>65</v>
      </c>
      <c r="F69" s="41"/>
      <c r="G69" s="41"/>
      <c r="H69" s="41"/>
      <c r="I69" s="17">
        <f>I71+I70</f>
        <v>20161.89</v>
      </c>
      <c r="J69" s="17">
        <f>J71+J70</f>
        <v>20161</v>
      </c>
      <c r="K69" s="17">
        <f>K71</f>
        <v>0</v>
      </c>
      <c r="L69" s="42"/>
      <c r="M69" s="186"/>
      <c r="N69" s="187"/>
      <c r="O69" s="20">
        <f>I69-J69-K69</f>
        <v>0.88999999999941792</v>
      </c>
      <c r="P69" s="21">
        <f>J69/I69*100</f>
        <v>99.995585731298007</v>
      </c>
      <c r="Q69" s="309"/>
      <c r="R69" s="310"/>
    </row>
    <row r="70" spans="1:50" ht="40.5" customHeight="1" x14ac:dyDescent="0.25">
      <c r="A70" s="175" t="s">
        <v>43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44</v>
      </c>
      <c r="H70" s="22"/>
      <c r="I70" s="23">
        <v>11368.42</v>
      </c>
      <c r="J70" s="23">
        <v>11368.42</v>
      </c>
      <c r="K70" s="34">
        <f t="shared" ref="K70" si="36">I70-J70</f>
        <v>0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ref="O70:O71" si="37">I70-J70-K70</f>
        <v>0</v>
      </c>
      <c r="P70" s="26">
        <f t="shared" ref="P70:P71" si="38">J70/I70*100</f>
        <v>100</v>
      </c>
      <c r="Q70" s="309"/>
      <c r="R70" s="310"/>
    </row>
    <row r="71" spans="1:50" ht="40.5" customHeight="1" x14ac:dyDescent="0.25">
      <c r="A71" s="175" t="s">
        <v>109</v>
      </c>
      <c r="B71" s="22" t="s">
        <v>9</v>
      </c>
      <c r="C71" s="22" t="s">
        <v>12</v>
      </c>
      <c r="D71" s="22" t="s">
        <v>12</v>
      </c>
      <c r="E71" s="22" t="s">
        <v>66</v>
      </c>
      <c r="F71" s="22" t="s">
        <v>22</v>
      </c>
      <c r="G71" s="22" t="s">
        <v>104</v>
      </c>
      <c r="H71" s="22"/>
      <c r="I71" s="23">
        <v>8793.4699999999993</v>
      </c>
      <c r="J71" s="23">
        <v>8792.58</v>
      </c>
      <c r="K71" s="34">
        <v>0</v>
      </c>
      <c r="L71" s="34" t="e">
        <f>#REF!</f>
        <v>#REF!</v>
      </c>
      <c r="M71" s="34" t="e">
        <f>#REF!</f>
        <v>#REF!</v>
      </c>
      <c r="N71" s="34" t="e">
        <f>#REF!</f>
        <v>#REF!</v>
      </c>
      <c r="O71" s="25">
        <f t="shared" si="37"/>
        <v>0.88999999999941792</v>
      </c>
      <c r="P71" s="26">
        <f t="shared" si="38"/>
        <v>99.989878853285447</v>
      </c>
      <c r="Q71" s="309"/>
      <c r="R71" s="310"/>
    </row>
    <row r="72" spans="1:50" ht="25.5" customHeight="1" x14ac:dyDescent="0.25">
      <c r="A72" s="190" t="s">
        <v>194</v>
      </c>
      <c r="B72" s="41" t="s">
        <v>9</v>
      </c>
      <c r="C72" s="41" t="s">
        <v>12</v>
      </c>
      <c r="D72" s="41" t="s">
        <v>14</v>
      </c>
      <c r="E72" s="41" t="s">
        <v>198</v>
      </c>
      <c r="F72" s="16"/>
      <c r="G72" s="41"/>
      <c r="H72" s="41"/>
      <c r="I72" s="17">
        <f>I73</f>
        <v>65789.47</v>
      </c>
      <c r="J72" s="17">
        <f>J73</f>
        <v>62500</v>
      </c>
      <c r="K72" s="17">
        <f>K73</f>
        <v>3289.4700000000012</v>
      </c>
      <c r="L72" s="42"/>
      <c r="M72" s="186"/>
      <c r="N72" s="187"/>
      <c r="O72" s="20">
        <f>I72-J72-K72</f>
        <v>0</v>
      </c>
      <c r="P72" s="21">
        <f>J72/I72*100</f>
        <v>95.000005320000298</v>
      </c>
      <c r="Q72" s="301"/>
      <c r="R72" s="302"/>
    </row>
    <row r="73" spans="1:50" ht="40.5" customHeight="1" x14ac:dyDescent="0.25">
      <c r="A73" s="175" t="s">
        <v>109</v>
      </c>
      <c r="B73" s="22" t="s">
        <v>9</v>
      </c>
      <c r="C73" s="22" t="s">
        <v>12</v>
      </c>
      <c r="D73" s="22" t="s">
        <v>14</v>
      </c>
      <c r="E73" s="22" t="s">
        <v>198</v>
      </c>
      <c r="F73" s="22" t="s">
        <v>22</v>
      </c>
      <c r="G73" s="22" t="s">
        <v>48</v>
      </c>
      <c r="H73" s="22"/>
      <c r="I73" s="23">
        <v>65789.47</v>
      </c>
      <c r="J73" s="23">
        <v>62500</v>
      </c>
      <c r="K73" s="23">
        <f>I73-J73</f>
        <v>3289.4700000000012</v>
      </c>
      <c r="L73" s="34" t="e">
        <f>#REF!</f>
        <v>#REF!</v>
      </c>
      <c r="M73" s="34" t="e">
        <f>#REF!</f>
        <v>#REF!</v>
      </c>
      <c r="N73" s="34" t="e">
        <f>#REF!</f>
        <v>#REF!</v>
      </c>
      <c r="O73" s="25">
        <f t="shared" ref="O73" si="39">I73-J73-K73</f>
        <v>0</v>
      </c>
      <c r="P73" s="26">
        <f t="shared" ref="P73" si="40">J73/I73*100</f>
        <v>95.000005320000298</v>
      </c>
      <c r="Q73" s="301"/>
      <c r="R73" s="302"/>
    </row>
    <row r="74" spans="1:50" s="2" customFormat="1" ht="20.25" customHeight="1" x14ac:dyDescent="0.3">
      <c r="A74" s="333" t="s">
        <v>54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5"/>
      <c r="Q74" s="340"/>
      <c r="R74" s="340"/>
    </row>
    <row r="75" spans="1:50" ht="19.5" x14ac:dyDescent="0.25">
      <c r="A75" s="173" t="s">
        <v>11</v>
      </c>
      <c r="B75" s="8" t="s">
        <v>9</v>
      </c>
      <c r="C75" s="8" t="s">
        <v>12</v>
      </c>
      <c r="D75" s="8"/>
      <c r="E75" s="8"/>
      <c r="F75" s="8"/>
      <c r="G75" s="8"/>
      <c r="H75" s="8"/>
      <c r="I75" s="9">
        <f t="shared" ref="I75:N75" si="41">I76+I107</f>
        <v>86970710</v>
      </c>
      <c r="J75" s="9">
        <f t="shared" si="41"/>
        <v>66866209.059999995</v>
      </c>
      <c r="K75" s="9">
        <f t="shared" si="41"/>
        <v>19858414.400000002</v>
      </c>
      <c r="L75" s="9" t="e">
        <f t="shared" si="41"/>
        <v>#REF!</v>
      </c>
      <c r="M75" s="9" t="e">
        <f t="shared" si="41"/>
        <v>#REF!</v>
      </c>
      <c r="N75" s="9" t="e">
        <f t="shared" si="41"/>
        <v>#REF!</v>
      </c>
      <c r="O75" s="11">
        <f>I75-J75-K75</f>
        <v>246086.54000000283</v>
      </c>
      <c r="P75" s="12">
        <f>J75/I75*100</f>
        <v>76.883595707106451</v>
      </c>
      <c r="Q75" s="331"/>
      <c r="R75" s="331"/>
    </row>
    <row r="76" spans="1:50" s="15" customFormat="1" ht="19.5" x14ac:dyDescent="0.25">
      <c r="A76" s="174" t="s">
        <v>13</v>
      </c>
      <c r="B76" s="13" t="s">
        <v>9</v>
      </c>
      <c r="C76" s="13" t="s">
        <v>12</v>
      </c>
      <c r="D76" s="13" t="s">
        <v>14</v>
      </c>
      <c r="E76" s="13"/>
      <c r="F76" s="13"/>
      <c r="G76" s="13"/>
      <c r="H76" s="13"/>
      <c r="I76" s="157">
        <f>I77+I95+I98+I104+I101</f>
        <v>86587634</v>
      </c>
      <c r="J76" s="157">
        <f>J77+J95+J98+J104+J101</f>
        <v>66483133.059999995</v>
      </c>
      <c r="K76" s="14">
        <f>K77+K95+K98+K104+K101</f>
        <v>19858414.400000002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7">
        <f t="shared" ref="I76:O79" si="42">O77</f>
        <v>0</v>
      </c>
      <c r="P76" s="48">
        <f>J76/I76*100</f>
        <v>76.781325448851035</v>
      </c>
      <c r="Q76" s="331"/>
      <c r="R76" s="331"/>
    </row>
    <row r="77" spans="1:50" s="19" customFormat="1" ht="37.5" x14ac:dyDescent="0.25">
      <c r="A77" s="40" t="s">
        <v>15</v>
      </c>
      <c r="B77" s="41" t="s">
        <v>9</v>
      </c>
      <c r="C77" s="41" t="s">
        <v>12</v>
      </c>
      <c r="D77" s="41" t="s">
        <v>14</v>
      </c>
      <c r="E77" s="41" t="s">
        <v>55</v>
      </c>
      <c r="F77" s="41"/>
      <c r="G77" s="41"/>
      <c r="H77" s="41"/>
      <c r="I77" s="17">
        <f>I78</f>
        <v>82811224.890000001</v>
      </c>
      <c r="J77" s="17">
        <f>J78</f>
        <v>63942708.899999999</v>
      </c>
      <c r="K77" s="17">
        <f t="shared" si="42"/>
        <v>18868515.989999998</v>
      </c>
      <c r="L77" s="17">
        <f t="shared" si="42"/>
        <v>0</v>
      </c>
      <c r="M77" s="17">
        <f t="shared" si="42"/>
        <v>0</v>
      </c>
      <c r="N77" s="17">
        <f t="shared" si="42"/>
        <v>0</v>
      </c>
      <c r="O77" s="17">
        <f t="shared" si="42"/>
        <v>0</v>
      </c>
      <c r="P77" s="21">
        <f t="shared" ref="P77:P106" si="43">J77/I77*100</f>
        <v>77.215026084853264</v>
      </c>
      <c r="Q77" s="346"/>
      <c r="R77" s="346"/>
    </row>
    <row r="78" spans="1:50" s="15" customFormat="1" ht="56.25" x14ac:dyDescent="0.25">
      <c r="A78" s="194" t="s">
        <v>17</v>
      </c>
      <c r="B78" s="27" t="s">
        <v>9</v>
      </c>
      <c r="C78" s="27" t="s">
        <v>12</v>
      </c>
      <c r="D78" s="27" t="s">
        <v>14</v>
      </c>
      <c r="E78" s="27" t="s">
        <v>55</v>
      </c>
      <c r="F78" s="27"/>
      <c r="G78" s="27"/>
      <c r="H78" s="27"/>
      <c r="I78" s="28">
        <f t="shared" si="42"/>
        <v>82811224.890000001</v>
      </c>
      <c r="J78" s="156">
        <f>J79</f>
        <v>63942708.899999999</v>
      </c>
      <c r="K78" s="44">
        <f t="shared" si="42"/>
        <v>18868515.989999998</v>
      </c>
      <c r="L78" s="24"/>
      <c r="M78" s="184"/>
      <c r="N78" s="185"/>
      <c r="O78" s="30">
        <f t="shared" ref="O78:O109" si="44">I78-J78-K78</f>
        <v>0</v>
      </c>
      <c r="P78" s="31">
        <f t="shared" si="43"/>
        <v>77.215026084853264</v>
      </c>
      <c r="Q78" s="331"/>
      <c r="R78" s="331"/>
      <c r="S78" s="1"/>
      <c r="T78" s="1"/>
      <c r="U78" s="1"/>
      <c r="V78" s="1"/>
      <c r="W78" s="1"/>
      <c r="X78" s="1"/>
      <c r="Y78" s="1"/>
    </row>
    <row r="79" spans="1:50" s="15" customFormat="1" ht="18.75" x14ac:dyDescent="0.25">
      <c r="A79" s="99" t="s">
        <v>19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20</v>
      </c>
      <c r="G79" s="22"/>
      <c r="H79" s="22"/>
      <c r="I79" s="28">
        <f t="shared" si="42"/>
        <v>82811224.890000001</v>
      </c>
      <c r="J79" s="156">
        <f t="shared" si="42"/>
        <v>63942708.899999999</v>
      </c>
      <c r="K79" s="44">
        <f t="shared" si="42"/>
        <v>18868515.989999998</v>
      </c>
      <c r="L79" s="38"/>
      <c r="M79" s="184"/>
      <c r="N79" s="185"/>
      <c r="O79" s="30">
        <f t="shared" si="44"/>
        <v>0</v>
      </c>
      <c r="P79" s="31">
        <f t="shared" si="43"/>
        <v>77.215026084853264</v>
      </c>
      <c r="Q79" s="331"/>
      <c r="R79" s="331"/>
      <c r="S79" s="1"/>
      <c r="T79" s="1"/>
      <c r="U79" s="1"/>
      <c r="V79" s="1"/>
      <c r="W79" s="1"/>
      <c r="X79" s="1"/>
      <c r="Y79" s="1"/>
    </row>
    <row r="80" spans="1:50" s="2" customFormat="1" ht="56.25" x14ac:dyDescent="0.25">
      <c r="A80" s="99" t="s">
        <v>21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/>
      <c r="H80" s="22"/>
      <c r="I80" s="28">
        <f t="shared" ref="I80:N80" si="45">I81+I91</f>
        <v>82811224.890000001</v>
      </c>
      <c r="J80" s="28">
        <f>J81+J91</f>
        <v>63942708.899999999</v>
      </c>
      <c r="K80" s="33">
        <f t="shared" si="45"/>
        <v>18868515.989999998</v>
      </c>
      <c r="L80" s="33" t="e">
        <f t="shared" si="45"/>
        <v>#REF!</v>
      </c>
      <c r="M80" s="33" t="e">
        <f t="shared" si="45"/>
        <v>#REF!</v>
      </c>
      <c r="N80" s="33" t="e">
        <f t="shared" si="45"/>
        <v>#REF!</v>
      </c>
      <c r="O80" s="30">
        <f t="shared" si="44"/>
        <v>0</v>
      </c>
      <c r="P80" s="31">
        <f t="shared" si="43"/>
        <v>77.215026084853264</v>
      </c>
      <c r="Q80" s="331"/>
      <c r="R80" s="33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8.75" x14ac:dyDescent="0.25">
      <c r="A81" s="99" t="s">
        <v>23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24</v>
      </c>
      <c r="H81" s="22"/>
      <c r="I81" s="28">
        <f>I82+I89+I88+I86</f>
        <v>79583824.890000001</v>
      </c>
      <c r="J81" s="28">
        <f>J82+J89+J88+J86</f>
        <v>60915834.839999996</v>
      </c>
      <c r="K81" s="33">
        <f>K82+K89+K88+K86</f>
        <v>18667990.049999997</v>
      </c>
      <c r="L81" s="33" t="e">
        <f>L82+L89+#REF!</f>
        <v>#REF!</v>
      </c>
      <c r="M81" s="33" t="e">
        <f>M82+M89+#REF!</f>
        <v>#REF!</v>
      </c>
      <c r="N81" s="33" t="e">
        <f>N82+N89+#REF!</f>
        <v>#REF!</v>
      </c>
      <c r="O81" s="30">
        <f t="shared" si="44"/>
        <v>0</v>
      </c>
      <c r="P81" s="31">
        <f t="shared" si="43"/>
        <v>76.542984613013104</v>
      </c>
      <c r="Q81" s="331"/>
      <c r="R81" s="331"/>
    </row>
    <row r="82" spans="1:50" ht="18.75" x14ac:dyDescent="0.25">
      <c r="A82" s="99" t="s">
        <v>25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26</v>
      </c>
      <c r="H82" s="22"/>
      <c r="I82" s="28">
        <f>I83+I84+I85</f>
        <v>78601824.890000001</v>
      </c>
      <c r="J82" s="28">
        <f t="shared" ref="J82:K82" si="46">J83+J84+J85</f>
        <v>60112678.630000003</v>
      </c>
      <c r="K82" s="33">
        <f t="shared" si="46"/>
        <v>18489146.259999998</v>
      </c>
      <c r="L82" s="33" t="e">
        <f>L83+#REF!+L84</f>
        <v>#REF!</v>
      </c>
      <c r="M82" s="33" t="e">
        <f>M83+#REF!+M84</f>
        <v>#REF!</v>
      </c>
      <c r="N82" s="33" t="e">
        <f>N83+#REF!+N84</f>
        <v>#REF!</v>
      </c>
      <c r="O82" s="30">
        <f t="shared" si="44"/>
        <v>0</v>
      </c>
      <c r="P82" s="31">
        <f t="shared" si="43"/>
        <v>76.477459288159295</v>
      </c>
      <c r="Q82" s="331"/>
      <c r="R82" s="331"/>
    </row>
    <row r="83" spans="1:50" ht="18.75" x14ac:dyDescent="0.25">
      <c r="A83" s="99" t="s">
        <v>27</v>
      </c>
      <c r="B83" s="22" t="s">
        <v>9</v>
      </c>
      <c r="C83" s="22" t="s">
        <v>12</v>
      </c>
      <c r="D83" s="22" t="s">
        <v>14</v>
      </c>
      <c r="E83" s="22" t="s">
        <v>55</v>
      </c>
      <c r="F83" s="22" t="s">
        <v>22</v>
      </c>
      <c r="G83" s="22" t="s">
        <v>28</v>
      </c>
      <c r="H83" s="22"/>
      <c r="I83" s="23">
        <f>53227407.75-50000+7123118.28</f>
        <v>60300526.030000001</v>
      </c>
      <c r="J83" s="23">
        <v>47046284.75</v>
      </c>
      <c r="K83" s="23">
        <f>I83-J83</f>
        <v>13254241.280000001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5">
        <f t="shared" si="44"/>
        <v>0</v>
      </c>
      <c r="P83" s="26">
        <f t="shared" si="43"/>
        <v>78.019692111133637</v>
      </c>
      <c r="Q83" s="331"/>
      <c r="R83" s="331"/>
    </row>
    <row r="84" spans="1:50" ht="18.75" x14ac:dyDescent="0.25">
      <c r="A84" s="175" t="s">
        <v>29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30</v>
      </c>
      <c r="H84" s="22"/>
      <c r="I84" s="23">
        <v>9000</v>
      </c>
      <c r="J84" s="23">
        <v>2200</v>
      </c>
      <c r="K84" s="23">
        <f t="shared" ref="K84" si="47">I84-J84</f>
        <v>6800</v>
      </c>
      <c r="L84" s="23" t="e">
        <f>#REF!+#REF!</f>
        <v>#REF!</v>
      </c>
      <c r="M84" s="23" t="e">
        <f>#REF!+#REF!</f>
        <v>#REF!</v>
      </c>
      <c r="N84" s="23" t="e">
        <f>#REF!+#REF!</f>
        <v>#REF!</v>
      </c>
      <c r="O84" s="25">
        <f t="shared" si="44"/>
        <v>0</v>
      </c>
      <c r="P84" s="26">
        <f t="shared" si="43"/>
        <v>24.444444444444443</v>
      </c>
      <c r="Q84" s="331"/>
      <c r="R84" s="331"/>
    </row>
    <row r="85" spans="1:50" ht="21.75" customHeight="1" x14ac:dyDescent="0.25">
      <c r="A85" s="175" t="s">
        <v>31</v>
      </c>
      <c r="B85" s="22" t="s">
        <v>9</v>
      </c>
      <c r="C85" s="22" t="s">
        <v>12</v>
      </c>
      <c r="D85" s="22" t="s">
        <v>14</v>
      </c>
      <c r="E85" s="22" t="s">
        <v>55</v>
      </c>
      <c r="F85" s="22" t="s">
        <v>22</v>
      </c>
      <c r="G85" s="22" t="s">
        <v>32</v>
      </c>
      <c r="H85" s="22"/>
      <c r="I85" s="23">
        <f>16141117.14+2151181.72</f>
        <v>18292298.859999999</v>
      </c>
      <c r="J85" s="34">
        <v>13064193.880000001</v>
      </c>
      <c r="K85" s="23">
        <f>I85-J85</f>
        <v>5228104.9799999986</v>
      </c>
      <c r="L85" s="24" t="e">
        <f>#REF!</f>
        <v>#REF!</v>
      </c>
      <c r="M85" s="182"/>
      <c r="N85" s="183"/>
      <c r="O85" s="25">
        <f t="shared" si="44"/>
        <v>0</v>
      </c>
      <c r="P85" s="26">
        <f t="shared" si="43"/>
        <v>71.419092701178414</v>
      </c>
      <c r="Q85" s="343"/>
      <c r="R85" s="343"/>
    </row>
    <row r="86" spans="1:50" ht="21.75" customHeight="1" x14ac:dyDescent="0.25">
      <c r="A86" s="179" t="s">
        <v>33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34</v>
      </c>
      <c r="H86" s="22"/>
      <c r="I86" s="33">
        <f>I87</f>
        <v>182000</v>
      </c>
      <c r="J86" s="44">
        <f>J87</f>
        <v>100574.39999999999</v>
      </c>
      <c r="K86" s="33">
        <f t="shared" ref="K86:K87" si="48">I86-J86</f>
        <v>81425.600000000006</v>
      </c>
      <c r="L86" s="92"/>
      <c r="M86" s="184"/>
      <c r="N86" s="185"/>
      <c r="O86" s="30">
        <f t="shared" si="44"/>
        <v>0</v>
      </c>
      <c r="P86" s="31">
        <f t="shared" si="43"/>
        <v>55.260659340659338</v>
      </c>
      <c r="Q86" s="344"/>
      <c r="R86" s="345"/>
    </row>
    <row r="87" spans="1:50" ht="24" customHeight="1" x14ac:dyDescent="0.25">
      <c r="A87" s="99" t="s">
        <v>43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44</v>
      </c>
      <c r="H87" s="22"/>
      <c r="I87" s="23">
        <v>182000</v>
      </c>
      <c r="J87" s="34">
        <v>100574.39999999999</v>
      </c>
      <c r="K87" s="23">
        <f t="shared" si="48"/>
        <v>81425.600000000006</v>
      </c>
      <c r="L87" s="24"/>
      <c r="M87" s="182"/>
      <c r="N87" s="183"/>
      <c r="O87" s="25">
        <f t="shared" si="44"/>
        <v>0</v>
      </c>
      <c r="P87" s="26">
        <f t="shared" si="43"/>
        <v>55.260659340659338</v>
      </c>
      <c r="Q87" s="344"/>
      <c r="R87" s="345"/>
    </row>
    <row r="88" spans="1:50" ht="42" customHeight="1" x14ac:dyDescent="0.25">
      <c r="A88" s="179" t="s">
        <v>93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94</v>
      </c>
      <c r="H88" s="27"/>
      <c r="I88" s="33">
        <v>270000</v>
      </c>
      <c r="J88" s="44">
        <v>309104.26</v>
      </c>
      <c r="K88" s="28">
        <f>I88-J88</f>
        <v>-39104.260000000009</v>
      </c>
      <c r="L88" s="94">
        <v>802458</v>
      </c>
      <c r="M88" s="184">
        <f>L88</f>
        <v>802458</v>
      </c>
      <c r="N88" s="185"/>
      <c r="O88" s="30">
        <f>I88-J88-K88</f>
        <v>0</v>
      </c>
      <c r="P88" s="31">
        <v>0</v>
      </c>
      <c r="Q88" s="344"/>
      <c r="R88" s="345"/>
    </row>
    <row r="89" spans="1:50" ht="18.75" x14ac:dyDescent="0.25">
      <c r="A89" s="179" t="s">
        <v>33</v>
      </c>
      <c r="B89" s="27" t="s">
        <v>9</v>
      </c>
      <c r="C89" s="27" t="s">
        <v>12</v>
      </c>
      <c r="D89" s="27" t="s">
        <v>14</v>
      </c>
      <c r="E89" s="27" t="s">
        <v>55</v>
      </c>
      <c r="F89" s="27" t="s">
        <v>22</v>
      </c>
      <c r="G89" s="27" t="s">
        <v>34</v>
      </c>
      <c r="H89" s="27"/>
      <c r="I89" s="33">
        <f>I90</f>
        <v>530000</v>
      </c>
      <c r="J89" s="33">
        <f t="shared" ref="J89:O89" si="49">J90</f>
        <v>393477.55</v>
      </c>
      <c r="K89" s="28">
        <f t="shared" si="49"/>
        <v>136522.45000000001</v>
      </c>
      <c r="L89" s="28" t="e">
        <f t="shared" si="49"/>
        <v>#REF!</v>
      </c>
      <c r="M89" s="28" t="e">
        <f t="shared" si="49"/>
        <v>#REF!</v>
      </c>
      <c r="N89" s="28" t="e">
        <f t="shared" si="49"/>
        <v>#REF!</v>
      </c>
      <c r="O89" s="28">
        <f t="shared" si="49"/>
        <v>0</v>
      </c>
      <c r="P89" s="28">
        <f>P90</f>
        <v>74.24104716981131</v>
      </c>
      <c r="Q89" s="331"/>
      <c r="R89" s="331"/>
    </row>
    <row r="90" spans="1:50" ht="18.75" x14ac:dyDescent="0.25">
      <c r="A90" s="99" t="s">
        <v>43</v>
      </c>
      <c r="B90" s="22" t="s">
        <v>9</v>
      </c>
      <c r="C90" s="22" t="s">
        <v>12</v>
      </c>
      <c r="D90" s="22" t="s">
        <v>14</v>
      </c>
      <c r="E90" s="22" t="s">
        <v>55</v>
      </c>
      <c r="F90" s="22" t="s">
        <v>22</v>
      </c>
      <c r="G90" s="22" t="s">
        <v>44</v>
      </c>
      <c r="H90" s="22"/>
      <c r="I90" s="23">
        <f>350000+180000</f>
        <v>530000</v>
      </c>
      <c r="J90" s="23">
        <f>345585+47892.55</f>
        <v>393477.55</v>
      </c>
      <c r="K90" s="35">
        <f>I90-J90</f>
        <v>136522.45000000001</v>
      </c>
      <c r="L90" s="35" t="e">
        <f>L88+#REF!+#REF!</f>
        <v>#REF!</v>
      </c>
      <c r="M90" s="35" t="e">
        <f>M88+#REF!+#REF!</f>
        <v>#REF!</v>
      </c>
      <c r="N90" s="35" t="e">
        <f>N88+#REF!+#REF!</f>
        <v>#REF!</v>
      </c>
      <c r="O90" s="153">
        <f t="shared" si="44"/>
        <v>0</v>
      </c>
      <c r="P90" s="154">
        <f t="shared" si="43"/>
        <v>74.24104716981131</v>
      </c>
      <c r="Q90" s="331"/>
      <c r="R90" s="331"/>
    </row>
    <row r="91" spans="1:50" s="2" customFormat="1" ht="18.75" x14ac:dyDescent="0.25">
      <c r="A91" s="194" t="s">
        <v>45</v>
      </c>
      <c r="B91" s="27" t="s">
        <v>9</v>
      </c>
      <c r="C91" s="27" t="s">
        <v>12</v>
      </c>
      <c r="D91" s="27" t="s">
        <v>14</v>
      </c>
      <c r="E91" s="27" t="s">
        <v>55</v>
      </c>
      <c r="F91" s="27" t="s">
        <v>22</v>
      </c>
      <c r="G91" s="27" t="s">
        <v>46</v>
      </c>
      <c r="H91" s="27"/>
      <c r="I91" s="33">
        <f>I92+I94+I93</f>
        <v>3227400</v>
      </c>
      <c r="J91" s="33">
        <f t="shared" ref="J91:O91" si="50">J92+J94+J93</f>
        <v>3026874.06</v>
      </c>
      <c r="K91" s="33">
        <f t="shared" si="50"/>
        <v>200525.93999999994</v>
      </c>
      <c r="L91" s="33" t="e">
        <f t="shared" si="50"/>
        <v>#REF!</v>
      </c>
      <c r="M91" s="33">
        <f t="shared" si="50"/>
        <v>100</v>
      </c>
      <c r="N91" s="33">
        <f t="shared" si="50"/>
        <v>0</v>
      </c>
      <c r="O91" s="33">
        <f t="shared" si="50"/>
        <v>5.8207660913467407E-11</v>
      </c>
      <c r="P91" s="31">
        <f t="shared" si="43"/>
        <v>93.786765197992196</v>
      </c>
      <c r="Q91" s="341"/>
      <c r="R91" s="341"/>
      <c r="S91" s="15"/>
      <c r="T91" s="15"/>
      <c r="U91" s="15"/>
      <c r="V91" s="15"/>
      <c r="W91" s="15"/>
      <c r="X91" s="15"/>
      <c r="Y91" s="1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8.75" x14ac:dyDescent="0.25">
      <c r="A92" s="99" t="s">
        <v>47</v>
      </c>
      <c r="B92" s="22" t="s">
        <v>9</v>
      </c>
      <c r="C92" s="22" t="s">
        <v>12</v>
      </c>
      <c r="D92" s="22" t="s">
        <v>14</v>
      </c>
      <c r="E92" s="22" t="s">
        <v>55</v>
      </c>
      <c r="F92" s="22" t="s">
        <v>22</v>
      </c>
      <c r="G92" s="22" t="s">
        <v>48</v>
      </c>
      <c r="H92" s="22"/>
      <c r="I92" s="23">
        <f>2693400+304000-150718.16</f>
        <v>2846681.84</v>
      </c>
      <c r="J92" s="23">
        <v>2646155.9</v>
      </c>
      <c r="K92" s="35">
        <f t="shared" ref="K92:K93" si="51">I92-J92</f>
        <v>200525.93999999994</v>
      </c>
      <c r="L92" s="50" t="e">
        <f>L94+#REF!+#REF!+#REF!+#REF!</f>
        <v>#REF!</v>
      </c>
      <c r="M92" s="176"/>
      <c r="N92" s="177"/>
      <c r="O92" s="153">
        <f t="shared" si="44"/>
        <v>0</v>
      </c>
      <c r="P92" s="154">
        <f t="shared" si="43"/>
        <v>92.955800778916696</v>
      </c>
      <c r="Q92" s="341"/>
      <c r="R92" s="341"/>
    </row>
    <row r="93" spans="1:50" ht="37.5" x14ac:dyDescent="0.25">
      <c r="A93" s="175" t="s">
        <v>109</v>
      </c>
      <c r="B93" s="22" t="s">
        <v>9</v>
      </c>
      <c r="C93" s="22" t="s">
        <v>12</v>
      </c>
      <c r="D93" s="22" t="s">
        <v>14</v>
      </c>
      <c r="E93" s="22" t="s">
        <v>55</v>
      </c>
      <c r="F93" s="22" t="s">
        <v>22</v>
      </c>
      <c r="G93" s="22" t="s">
        <v>104</v>
      </c>
      <c r="H93" s="22"/>
      <c r="I93" s="23">
        <f>229160+150718.16</f>
        <v>379878.16000000003</v>
      </c>
      <c r="J93" s="34">
        <v>379878.16</v>
      </c>
      <c r="K93" s="35">
        <f t="shared" si="51"/>
        <v>0</v>
      </c>
      <c r="L93" s="50" t="e">
        <f>#REF!</f>
        <v>#REF!</v>
      </c>
      <c r="M93" s="176"/>
      <c r="N93" s="177"/>
      <c r="O93" s="153">
        <f t="shared" si="44"/>
        <v>5.8207660913467407E-11</v>
      </c>
      <c r="P93" s="154">
        <f t="shared" si="43"/>
        <v>99.999999999999986</v>
      </c>
      <c r="Q93" s="382"/>
      <c r="R93" s="383"/>
    </row>
    <row r="94" spans="1:50" ht="37.5" x14ac:dyDescent="0.25">
      <c r="A94" s="268" t="s">
        <v>110</v>
      </c>
      <c r="B94" s="269" t="s">
        <v>9</v>
      </c>
      <c r="C94" s="22" t="s">
        <v>12</v>
      </c>
      <c r="D94" s="22" t="s">
        <v>14</v>
      </c>
      <c r="E94" s="22" t="s">
        <v>55</v>
      </c>
      <c r="F94" s="22" t="s">
        <v>22</v>
      </c>
      <c r="G94" s="269" t="s">
        <v>105</v>
      </c>
      <c r="H94" s="269"/>
      <c r="I94" s="270">
        <v>840</v>
      </c>
      <c r="J94" s="271">
        <v>840</v>
      </c>
      <c r="K94" s="272">
        <v>0</v>
      </c>
      <c r="L94" s="273">
        <v>0</v>
      </c>
      <c r="M94" s="274">
        <v>100</v>
      </c>
      <c r="N94" s="384"/>
      <c r="O94" s="385"/>
      <c r="P94" s="298"/>
      <c r="Q94" s="387"/>
      <c r="R94" s="387"/>
      <c r="S94" s="276"/>
      <c r="T94" s="276"/>
      <c r="U94" s="276"/>
      <c r="V94" s="276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</row>
    <row r="95" spans="1:50" s="2" customFormat="1" ht="118.5" customHeight="1" x14ac:dyDescent="0.25">
      <c r="A95" s="86" t="s">
        <v>130</v>
      </c>
      <c r="B95" s="41" t="s">
        <v>9</v>
      </c>
      <c r="C95" s="41" t="s">
        <v>12</v>
      </c>
      <c r="D95" s="41" t="s">
        <v>14</v>
      </c>
      <c r="E95" s="41" t="s">
        <v>57</v>
      </c>
      <c r="F95" s="41" t="s">
        <v>22</v>
      </c>
      <c r="G95" s="16"/>
      <c r="H95" s="16"/>
      <c r="I95" s="17">
        <f>I96+I97</f>
        <v>254011.41</v>
      </c>
      <c r="J95" s="17">
        <f t="shared" ref="J95:K95" si="52">J96+J97</f>
        <v>220670.49</v>
      </c>
      <c r="K95" s="17">
        <f t="shared" si="52"/>
        <v>33340.920000000013</v>
      </c>
      <c r="L95" s="42"/>
      <c r="M95" s="186"/>
      <c r="N95" s="187"/>
      <c r="O95" s="20">
        <f t="shared" si="44"/>
        <v>0</v>
      </c>
      <c r="P95" s="21">
        <f t="shared" si="43"/>
        <v>86.874243168840323</v>
      </c>
      <c r="Q95" s="331"/>
      <c r="R95" s="33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2" customFormat="1" ht="18.75" x14ac:dyDescent="0.25">
      <c r="A96" s="175" t="s">
        <v>27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43" t="s">
        <v>28</v>
      </c>
      <c r="H96" s="43"/>
      <c r="I96" s="23">
        <v>195093.25</v>
      </c>
      <c r="J96" s="34">
        <v>181319.83</v>
      </c>
      <c r="K96" s="35">
        <f t="shared" ref="K96:K97" si="53">I96-J96</f>
        <v>13773.420000000013</v>
      </c>
      <c r="L96" s="93"/>
      <c r="M96" s="188"/>
      <c r="N96" s="189"/>
      <c r="O96" s="25">
        <f t="shared" si="44"/>
        <v>0</v>
      </c>
      <c r="P96" s="26">
        <f t="shared" si="43"/>
        <v>92.940083780448575</v>
      </c>
      <c r="Q96" s="331"/>
      <c r="R96" s="33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s="15" customFormat="1" ht="18.75" x14ac:dyDescent="0.25">
      <c r="A97" s="99" t="s">
        <v>31</v>
      </c>
      <c r="B97" s="43" t="s">
        <v>9</v>
      </c>
      <c r="C97" s="43" t="s">
        <v>12</v>
      </c>
      <c r="D97" s="43" t="s">
        <v>14</v>
      </c>
      <c r="E97" s="43" t="s">
        <v>57</v>
      </c>
      <c r="F97" s="43" t="s">
        <v>22</v>
      </c>
      <c r="G97" s="103">
        <v>213</v>
      </c>
      <c r="H97" s="22"/>
      <c r="I97" s="23">
        <v>58918.16</v>
      </c>
      <c r="J97" s="34">
        <v>39350.660000000003</v>
      </c>
      <c r="K97" s="35">
        <f t="shared" si="53"/>
        <v>19567.5</v>
      </c>
      <c r="L97" s="93"/>
      <c r="M97" s="188"/>
      <c r="N97" s="189"/>
      <c r="O97" s="25">
        <f t="shared" si="44"/>
        <v>0</v>
      </c>
      <c r="P97" s="26">
        <f t="shared" si="43"/>
        <v>66.788677718380882</v>
      </c>
      <c r="Q97" s="331"/>
      <c r="R97" s="331"/>
    </row>
    <row r="98" spans="1:50" s="15" customFormat="1" ht="118.5" customHeight="1" x14ac:dyDescent="0.25">
      <c r="A98" s="86" t="s">
        <v>131</v>
      </c>
      <c r="B98" s="41" t="s">
        <v>9</v>
      </c>
      <c r="C98" s="41" t="s">
        <v>12</v>
      </c>
      <c r="D98" s="41" t="s">
        <v>14</v>
      </c>
      <c r="E98" s="41" t="s">
        <v>57</v>
      </c>
      <c r="F98" s="41" t="s">
        <v>22</v>
      </c>
      <c r="G98" s="16"/>
      <c r="H98" s="16"/>
      <c r="I98" s="17">
        <f>I99+I100</f>
        <v>1678661.9200000002</v>
      </c>
      <c r="J98" s="17">
        <f t="shared" ref="J98:K98" si="54">J99+J100</f>
        <v>1200664.26</v>
      </c>
      <c r="K98" s="17">
        <f t="shared" si="54"/>
        <v>231911.12000000002</v>
      </c>
      <c r="L98" s="42"/>
      <c r="M98" s="186"/>
      <c r="N98" s="187"/>
      <c r="O98" s="20">
        <f t="shared" si="44"/>
        <v>246086.54000000012</v>
      </c>
      <c r="P98" s="21">
        <f t="shared" si="43"/>
        <v>71.52507873652128</v>
      </c>
      <c r="Q98" s="338"/>
      <c r="R98" s="339"/>
    </row>
    <row r="99" spans="1:50" s="15" customFormat="1" ht="18.75" x14ac:dyDescent="0.25">
      <c r="A99" s="175" t="s">
        <v>27</v>
      </c>
      <c r="B99" s="43" t="s">
        <v>9</v>
      </c>
      <c r="C99" s="43" t="s">
        <v>12</v>
      </c>
      <c r="D99" s="43" t="s">
        <v>14</v>
      </c>
      <c r="E99" s="43" t="s">
        <v>57</v>
      </c>
      <c r="F99" s="43" t="s">
        <v>22</v>
      </c>
      <c r="G99" s="43" t="s">
        <v>28</v>
      </c>
      <c r="H99" s="43"/>
      <c r="I99" s="23">
        <v>1289294.8700000001</v>
      </c>
      <c r="J99" s="34">
        <v>922169.17</v>
      </c>
      <c r="K99" s="35">
        <f>I99-J99-189006.56</f>
        <v>178119.14000000007</v>
      </c>
      <c r="L99" s="93"/>
      <c r="M99" s="188"/>
      <c r="N99" s="189"/>
      <c r="O99" s="25">
        <f t="shared" si="44"/>
        <v>189006.56</v>
      </c>
      <c r="P99" s="26">
        <f t="shared" si="43"/>
        <v>71.525078665674044</v>
      </c>
      <c r="Q99" s="338"/>
      <c r="R99" s="339"/>
    </row>
    <row r="100" spans="1:50" s="15" customFormat="1" ht="18.75" x14ac:dyDescent="0.25">
      <c r="A100" s="99" t="s">
        <v>31</v>
      </c>
      <c r="B100" s="43" t="s">
        <v>9</v>
      </c>
      <c r="C100" s="43" t="s">
        <v>12</v>
      </c>
      <c r="D100" s="43" t="s">
        <v>14</v>
      </c>
      <c r="E100" s="43" t="s">
        <v>57</v>
      </c>
      <c r="F100" s="43" t="s">
        <v>22</v>
      </c>
      <c r="G100" s="103">
        <v>213</v>
      </c>
      <c r="H100" s="22"/>
      <c r="I100" s="23">
        <v>389367.05</v>
      </c>
      <c r="J100" s="34">
        <v>278495.09000000003</v>
      </c>
      <c r="K100" s="35">
        <f>I100-J100-57079.98</f>
        <v>53791.97999999996</v>
      </c>
      <c r="L100" s="93"/>
      <c r="M100" s="188"/>
      <c r="N100" s="189"/>
      <c r="O100" s="25">
        <f t="shared" si="44"/>
        <v>57079.98</v>
      </c>
      <c r="P100" s="26">
        <f t="shared" si="43"/>
        <v>71.525078971114795</v>
      </c>
      <c r="Q100" s="338"/>
      <c r="R100" s="339"/>
    </row>
    <row r="101" spans="1:50" s="15" customFormat="1" ht="118.5" hidden="1" customHeight="1" x14ac:dyDescent="0.25">
      <c r="A101" s="86" t="s">
        <v>131</v>
      </c>
      <c r="B101" s="41" t="s">
        <v>9</v>
      </c>
      <c r="C101" s="41" t="s">
        <v>12</v>
      </c>
      <c r="D101" s="41" t="s">
        <v>14</v>
      </c>
      <c r="E101" s="41" t="s">
        <v>152</v>
      </c>
      <c r="F101" s="41" t="s">
        <v>22</v>
      </c>
      <c r="G101" s="16"/>
      <c r="H101" s="16"/>
      <c r="I101" s="17">
        <f>I102+I103</f>
        <v>0</v>
      </c>
      <c r="J101" s="17">
        <f t="shared" ref="J101:K101" si="55">J102+J103</f>
        <v>0</v>
      </c>
      <c r="K101" s="17">
        <f t="shared" si="55"/>
        <v>0</v>
      </c>
      <c r="L101" s="42"/>
      <c r="M101" s="186"/>
      <c r="N101" s="187"/>
      <c r="O101" s="20">
        <f t="shared" si="44"/>
        <v>0</v>
      </c>
      <c r="P101" s="21" t="e">
        <f t="shared" si="43"/>
        <v>#DIV/0!</v>
      </c>
      <c r="Q101" s="338"/>
      <c r="R101" s="339"/>
    </row>
    <row r="102" spans="1:50" s="15" customFormat="1" ht="18.75" hidden="1" x14ac:dyDescent="0.25">
      <c r="A102" s="175" t="s">
        <v>27</v>
      </c>
      <c r="B102" s="43" t="s">
        <v>9</v>
      </c>
      <c r="C102" s="43" t="s">
        <v>12</v>
      </c>
      <c r="D102" s="43" t="s">
        <v>14</v>
      </c>
      <c r="E102" s="43" t="s">
        <v>152</v>
      </c>
      <c r="F102" s="43" t="s">
        <v>22</v>
      </c>
      <c r="G102" s="43" t="s">
        <v>28</v>
      </c>
      <c r="H102" s="43"/>
      <c r="I102" s="121">
        <v>0</v>
      </c>
      <c r="J102" s="122">
        <v>0</v>
      </c>
      <c r="K102" s="35">
        <f>I102-J102</f>
        <v>0</v>
      </c>
      <c r="L102" s="93"/>
      <c r="M102" s="188"/>
      <c r="N102" s="189"/>
      <c r="O102" s="25">
        <f>I102-J102-K102</f>
        <v>0</v>
      </c>
      <c r="P102" s="26" t="e">
        <f t="shared" si="43"/>
        <v>#DIV/0!</v>
      </c>
      <c r="Q102" s="338"/>
      <c r="R102" s="339"/>
    </row>
    <row r="103" spans="1:50" s="15" customFormat="1" ht="18.75" hidden="1" x14ac:dyDescent="0.25">
      <c r="A103" s="99" t="s">
        <v>31</v>
      </c>
      <c r="B103" s="43" t="s">
        <v>9</v>
      </c>
      <c r="C103" s="43" t="s">
        <v>12</v>
      </c>
      <c r="D103" s="43" t="s">
        <v>14</v>
      </c>
      <c r="E103" s="43" t="s">
        <v>152</v>
      </c>
      <c r="F103" s="43" t="s">
        <v>22</v>
      </c>
      <c r="G103" s="103">
        <v>213</v>
      </c>
      <c r="H103" s="22"/>
      <c r="I103" s="121">
        <v>0</v>
      </c>
      <c r="J103" s="122">
        <v>0</v>
      </c>
      <c r="K103" s="35">
        <f t="shared" ref="K103" si="56">I103-J103</f>
        <v>0</v>
      </c>
      <c r="L103" s="93"/>
      <c r="M103" s="188"/>
      <c r="N103" s="189"/>
      <c r="O103" s="25">
        <f t="shared" si="44"/>
        <v>0</v>
      </c>
      <c r="P103" s="26" t="e">
        <f t="shared" si="43"/>
        <v>#DIV/0!</v>
      </c>
      <c r="Q103" s="338"/>
      <c r="R103" s="339"/>
    </row>
    <row r="104" spans="1:50" s="2" customFormat="1" ht="62.25" customHeight="1" x14ac:dyDescent="0.25">
      <c r="A104" s="190" t="s">
        <v>58</v>
      </c>
      <c r="B104" s="41" t="s">
        <v>9</v>
      </c>
      <c r="C104" s="41" t="s">
        <v>12</v>
      </c>
      <c r="D104" s="41" t="s">
        <v>14</v>
      </c>
      <c r="E104" s="41" t="s">
        <v>59</v>
      </c>
      <c r="F104" s="41" t="s">
        <v>22</v>
      </c>
      <c r="G104" s="41"/>
      <c r="H104" s="41"/>
      <c r="I104" s="17">
        <f>I106+I105</f>
        <v>1843735.78</v>
      </c>
      <c r="J104" s="17">
        <f>J106+J105</f>
        <v>1119089.4099999999</v>
      </c>
      <c r="K104" s="17">
        <f>K106+K105</f>
        <v>724646.37</v>
      </c>
      <c r="L104" s="18"/>
      <c r="M104" s="195"/>
      <c r="N104" s="196"/>
      <c r="O104" s="20">
        <f t="shared" si="44"/>
        <v>0</v>
      </c>
      <c r="P104" s="21">
        <f t="shared" si="43"/>
        <v>60.696842906633833</v>
      </c>
      <c r="Q104" s="331"/>
      <c r="R104" s="33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39" customHeight="1" x14ac:dyDescent="0.25">
      <c r="A105" s="175" t="s">
        <v>167</v>
      </c>
      <c r="B105" s="22" t="s">
        <v>9</v>
      </c>
      <c r="C105" s="22" t="s">
        <v>12</v>
      </c>
      <c r="D105" s="22" t="s">
        <v>14</v>
      </c>
      <c r="E105" s="22" t="s">
        <v>59</v>
      </c>
      <c r="F105" s="22" t="s">
        <v>22</v>
      </c>
      <c r="G105" s="22" t="s">
        <v>146</v>
      </c>
      <c r="H105" s="22"/>
      <c r="I105" s="23">
        <v>249335.78</v>
      </c>
      <c r="J105" s="34">
        <v>107281.28</v>
      </c>
      <c r="K105" s="34">
        <f>I105-J105</f>
        <v>142054.5</v>
      </c>
      <c r="L105" s="24"/>
      <c r="M105" s="182"/>
      <c r="N105" s="183"/>
      <c r="O105" s="25">
        <f t="shared" ref="O105" si="57">I105-J105-K105</f>
        <v>0</v>
      </c>
      <c r="P105" s="26">
        <f t="shared" ref="P105" si="58">J105/I105*100</f>
        <v>43.026829121757018</v>
      </c>
      <c r="Q105" s="331"/>
      <c r="R105" s="331"/>
    </row>
    <row r="106" spans="1:50" ht="18.75" x14ac:dyDescent="0.25">
      <c r="A106" s="99" t="s">
        <v>113</v>
      </c>
      <c r="B106" s="22" t="s">
        <v>9</v>
      </c>
      <c r="C106" s="22" t="s">
        <v>12</v>
      </c>
      <c r="D106" s="22" t="s">
        <v>14</v>
      </c>
      <c r="E106" s="22" t="s">
        <v>59</v>
      </c>
      <c r="F106" s="22" t="s">
        <v>22</v>
      </c>
      <c r="G106" s="22" t="s">
        <v>114</v>
      </c>
      <c r="H106" s="22"/>
      <c r="I106" s="23">
        <f>1632600-38200</f>
        <v>1594400</v>
      </c>
      <c r="J106" s="34">
        <v>1011808.13</v>
      </c>
      <c r="K106" s="34">
        <f>I106-J106</f>
        <v>582591.87</v>
      </c>
      <c r="L106" s="93" t="e">
        <f>#REF!</f>
        <v>#REF!</v>
      </c>
      <c r="M106" s="188"/>
      <c r="N106" s="189"/>
      <c r="O106" s="25">
        <f t="shared" si="44"/>
        <v>0</v>
      </c>
      <c r="P106" s="26">
        <f t="shared" si="43"/>
        <v>63.460118539889606</v>
      </c>
      <c r="Q106" s="331"/>
      <c r="R106" s="331"/>
    </row>
    <row r="107" spans="1:50" s="15" customFormat="1" ht="117.75" customHeight="1" x14ac:dyDescent="0.25">
      <c r="A107" s="190" t="s">
        <v>73</v>
      </c>
      <c r="B107" s="41" t="s">
        <v>9</v>
      </c>
      <c r="C107" s="41" t="s">
        <v>12</v>
      </c>
      <c r="D107" s="41" t="s">
        <v>12</v>
      </c>
      <c r="E107" s="41" t="s">
        <v>74</v>
      </c>
      <c r="F107" s="41"/>
      <c r="G107" s="41"/>
      <c r="H107" s="41"/>
      <c r="I107" s="17">
        <f>I109+I108</f>
        <v>383076</v>
      </c>
      <c r="J107" s="17">
        <f t="shared" ref="J107:K107" si="59">J109+J108</f>
        <v>383076</v>
      </c>
      <c r="K107" s="17">
        <f t="shared" si="59"/>
        <v>0</v>
      </c>
      <c r="L107" s="18" t="e">
        <f>L109</f>
        <v>#REF!</v>
      </c>
      <c r="M107" s="186"/>
      <c r="N107" s="187"/>
      <c r="O107" s="20">
        <f>I107-J107-K107</f>
        <v>0</v>
      </c>
      <c r="P107" s="21">
        <f>J107/I107*100</f>
        <v>100</v>
      </c>
      <c r="Q107" s="331"/>
      <c r="R107" s="331"/>
      <c r="Z107" s="1"/>
      <c r="AA107" s="1"/>
      <c r="AB107" s="1"/>
      <c r="AC107" s="1"/>
      <c r="AD107" s="1"/>
    </row>
    <row r="108" spans="1:50" s="15" customFormat="1" ht="18.75" x14ac:dyDescent="0.25">
      <c r="A108" s="99" t="s">
        <v>43</v>
      </c>
      <c r="B108" s="22" t="s">
        <v>9</v>
      </c>
      <c r="C108" s="22" t="s">
        <v>12</v>
      </c>
      <c r="D108" s="22" t="s">
        <v>12</v>
      </c>
      <c r="E108" s="22" t="s">
        <v>74</v>
      </c>
      <c r="F108" s="22" t="s">
        <v>22</v>
      </c>
      <c r="G108" s="22" t="s">
        <v>44</v>
      </c>
      <c r="H108" s="27"/>
      <c r="I108" s="23">
        <v>216000</v>
      </c>
      <c r="J108" s="23">
        <v>216000</v>
      </c>
      <c r="K108" s="34">
        <f>I108-J108</f>
        <v>0</v>
      </c>
      <c r="L108" s="24"/>
      <c r="M108" s="182"/>
      <c r="N108" s="183"/>
      <c r="O108" s="30">
        <f t="shared" si="44"/>
        <v>0</v>
      </c>
      <c r="P108" s="31">
        <f>J108/I108*100</f>
        <v>100</v>
      </c>
      <c r="Q108" s="338"/>
      <c r="R108" s="339"/>
      <c r="Z108" s="1"/>
      <c r="AA108" s="1"/>
      <c r="AB108" s="1"/>
      <c r="AC108" s="1"/>
      <c r="AD108" s="1"/>
    </row>
    <row r="109" spans="1:50" ht="18.75" x14ac:dyDescent="0.25">
      <c r="A109" s="99" t="s">
        <v>113</v>
      </c>
      <c r="B109" s="22" t="s">
        <v>9</v>
      </c>
      <c r="C109" s="22" t="s">
        <v>12</v>
      </c>
      <c r="D109" s="22" t="s">
        <v>12</v>
      </c>
      <c r="E109" s="22" t="s">
        <v>74</v>
      </c>
      <c r="F109" s="22" t="s">
        <v>22</v>
      </c>
      <c r="G109" s="22" t="s">
        <v>114</v>
      </c>
      <c r="H109" s="22"/>
      <c r="I109" s="23">
        <v>167076</v>
      </c>
      <c r="J109" s="23">
        <v>167076</v>
      </c>
      <c r="K109" s="34">
        <f>I109-J109</f>
        <v>0</v>
      </c>
      <c r="L109" s="24" t="e">
        <f>#REF!</f>
        <v>#REF!</v>
      </c>
      <c r="M109" s="182"/>
      <c r="N109" s="183"/>
      <c r="O109" s="25">
        <f t="shared" si="44"/>
        <v>0</v>
      </c>
      <c r="P109" s="26">
        <f>J109/I109*100</f>
        <v>100</v>
      </c>
      <c r="Q109" s="331"/>
      <c r="R109" s="331"/>
    </row>
    <row r="110" spans="1:50" s="2" customFormat="1" ht="19.5" customHeight="1" x14ac:dyDescent="0.3">
      <c r="A110" s="333" t="s">
        <v>60</v>
      </c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5"/>
      <c r="Q110" s="340"/>
      <c r="R110" s="340"/>
    </row>
    <row r="111" spans="1:50" ht="78" x14ac:dyDescent="0.25">
      <c r="A111" s="51" t="s">
        <v>8</v>
      </c>
      <c r="B111" s="52" t="s">
        <v>9</v>
      </c>
      <c r="C111" s="52"/>
      <c r="D111" s="52"/>
      <c r="E111" s="52"/>
      <c r="F111" s="52"/>
      <c r="G111" s="52"/>
      <c r="H111" s="52"/>
      <c r="I111" s="53">
        <f>I112+I126+I133+I138+I136+I143+I147+I150+I145</f>
        <v>781959.98</v>
      </c>
      <c r="J111" s="53">
        <f>J112+J126+J133+J138+J136+J150+J143+J147+J145</f>
        <v>676737.2</v>
      </c>
      <c r="K111" s="53">
        <f>K112+K126+K133+K138+K136+K143+K147+K150+K145</f>
        <v>105222.77999999997</v>
      </c>
      <c r="L111" s="53" t="e">
        <f t="shared" ref="L111:N111" si="60">L112+L126</f>
        <v>#REF!</v>
      </c>
      <c r="M111" s="53" t="e">
        <f t="shared" si="60"/>
        <v>#REF!</v>
      </c>
      <c r="N111" s="53" t="e">
        <f t="shared" si="60"/>
        <v>#REF!</v>
      </c>
      <c r="O111" s="53">
        <f>I111-J111-K111</f>
        <v>0</v>
      </c>
      <c r="P111" s="54">
        <f t="shared" ref="P111:P126" si="61">J111/I111*100</f>
        <v>86.543712889245299</v>
      </c>
      <c r="Q111" s="331"/>
      <c r="R111" s="331"/>
    </row>
    <row r="112" spans="1:50" ht="19.5" x14ac:dyDescent="0.25">
      <c r="A112" s="173" t="s">
        <v>11</v>
      </c>
      <c r="B112" s="8" t="s">
        <v>9</v>
      </c>
      <c r="C112" s="8" t="s">
        <v>12</v>
      </c>
      <c r="D112" s="8"/>
      <c r="E112" s="8"/>
      <c r="F112" s="8"/>
      <c r="G112" s="8"/>
      <c r="H112" s="8"/>
      <c r="I112" s="9">
        <f>I113+I117+I120+I123+I115+I152</f>
        <v>537217.12</v>
      </c>
      <c r="J112" s="9">
        <f>J113+J117+J120+J123+J115+J152</f>
        <v>468310.68</v>
      </c>
      <c r="K112" s="9">
        <f>K113+K117+K120+K123+K115+K152</f>
        <v>68906.439999999973</v>
      </c>
      <c r="L112" s="10" t="e">
        <f>L113+#REF!</f>
        <v>#REF!</v>
      </c>
      <c r="M112" s="197"/>
      <c r="N112" s="198"/>
      <c r="O112" s="11">
        <f>I112-J112-K112</f>
        <v>0</v>
      </c>
      <c r="P112" s="12">
        <f t="shared" si="61"/>
        <v>87.173446743469384</v>
      </c>
      <c r="Q112" s="331"/>
      <c r="R112" s="331"/>
    </row>
    <row r="113" spans="1:50" ht="120.75" customHeight="1" x14ac:dyDescent="0.25">
      <c r="A113" s="190" t="s">
        <v>61</v>
      </c>
      <c r="B113" s="41" t="s">
        <v>9</v>
      </c>
      <c r="C113" s="41" t="s">
        <v>12</v>
      </c>
      <c r="D113" s="41" t="s">
        <v>14</v>
      </c>
      <c r="E113" s="41" t="s">
        <v>62</v>
      </c>
      <c r="F113" s="41"/>
      <c r="G113" s="41"/>
      <c r="H113" s="41"/>
      <c r="I113" s="17">
        <f>I114</f>
        <v>13261.15</v>
      </c>
      <c r="J113" s="17">
        <f t="shared" ref="J113:L115" si="62">J114</f>
        <v>9778.11</v>
      </c>
      <c r="K113" s="17">
        <f t="shared" si="62"/>
        <v>3483.0399999999991</v>
      </c>
      <c r="L113" s="18" t="e">
        <f t="shared" si="62"/>
        <v>#REF!</v>
      </c>
      <c r="M113" s="186"/>
      <c r="N113" s="187"/>
      <c r="O113" s="20">
        <f>I113-J113-K113</f>
        <v>0</v>
      </c>
      <c r="P113" s="21">
        <f t="shared" si="61"/>
        <v>73.735007899013297</v>
      </c>
      <c r="Q113" s="331"/>
      <c r="R113" s="331"/>
      <c r="S113" s="15"/>
    </row>
    <row r="114" spans="1:50" ht="23.25" customHeight="1" x14ac:dyDescent="0.25">
      <c r="A114" s="99" t="s">
        <v>113</v>
      </c>
      <c r="B114" s="22" t="s">
        <v>9</v>
      </c>
      <c r="C114" s="22" t="s">
        <v>12</v>
      </c>
      <c r="D114" s="22" t="s">
        <v>14</v>
      </c>
      <c r="E114" s="43" t="s">
        <v>62</v>
      </c>
      <c r="F114" s="22" t="s">
        <v>63</v>
      </c>
      <c r="G114" s="22" t="s">
        <v>114</v>
      </c>
      <c r="H114" s="22"/>
      <c r="I114" s="23">
        <v>13261.15</v>
      </c>
      <c r="J114" s="34">
        <v>9778.11</v>
      </c>
      <c r="K114" s="34">
        <f>I114-J114</f>
        <v>3483.0399999999991</v>
      </c>
      <c r="L114" s="24" t="e">
        <f>#REF!</f>
        <v>#REF!</v>
      </c>
      <c r="M114" s="184"/>
      <c r="N114" s="185"/>
      <c r="O114" s="25">
        <f>I114-K114-J114</f>
        <v>0</v>
      </c>
      <c r="P114" s="26">
        <f t="shared" si="61"/>
        <v>73.735007899013297</v>
      </c>
      <c r="Q114" s="331"/>
      <c r="R114" s="331"/>
      <c r="Z114" s="15"/>
      <c r="AA114" s="15"/>
      <c r="AB114" s="15"/>
      <c r="AC114" s="15"/>
      <c r="AD114" s="15"/>
    </row>
    <row r="115" spans="1:50" ht="106.5" customHeight="1" x14ac:dyDescent="0.25">
      <c r="A115" s="190" t="s">
        <v>141</v>
      </c>
      <c r="B115" s="41" t="s">
        <v>9</v>
      </c>
      <c r="C115" s="41" t="s">
        <v>12</v>
      </c>
      <c r="D115" s="41" t="s">
        <v>14</v>
      </c>
      <c r="E115" s="41" t="s">
        <v>136</v>
      </c>
      <c r="F115" s="41"/>
      <c r="G115" s="41"/>
      <c r="H115" s="41"/>
      <c r="I115" s="17">
        <f>I116</f>
        <v>355955.97</v>
      </c>
      <c r="J115" s="17">
        <f t="shared" si="62"/>
        <v>307532.57</v>
      </c>
      <c r="K115" s="17">
        <f t="shared" si="62"/>
        <v>48423.399999999965</v>
      </c>
      <c r="L115" s="18" t="e">
        <f t="shared" si="62"/>
        <v>#REF!</v>
      </c>
      <c r="M115" s="186"/>
      <c r="N115" s="187"/>
      <c r="O115" s="20">
        <f>I115-J115-K115</f>
        <v>0</v>
      </c>
      <c r="P115" s="21">
        <f t="shared" si="61"/>
        <v>86.396238838191152</v>
      </c>
      <c r="Q115" s="331"/>
      <c r="R115" s="331"/>
      <c r="Z115" s="15"/>
      <c r="AA115" s="15"/>
      <c r="AB115" s="15"/>
      <c r="AC115" s="15"/>
      <c r="AD115" s="15"/>
    </row>
    <row r="116" spans="1:50" ht="23.25" customHeight="1" x14ac:dyDescent="0.25">
      <c r="A116" s="99" t="s">
        <v>113</v>
      </c>
      <c r="B116" s="22" t="s">
        <v>9</v>
      </c>
      <c r="C116" s="22" t="s">
        <v>12</v>
      </c>
      <c r="D116" s="22" t="s">
        <v>14</v>
      </c>
      <c r="E116" s="43" t="s">
        <v>136</v>
      </c>
      <c r="F116" s="22" t="s">
        <v>63</v>
      </c>
      <c r="G116" s="22" t="s">
        <v>114</v>
      </c>
      <c r="H116" s="22"/>
      <c r="I116" s="23">
        <v>355955.97</v>
      </c>
      <c r="J116" s="34">
        <v>307532.57</v>
      </c>
      <c r="K116" s="34">
        <f>I116-J116</f>
        <v>48423.399999999965</v>
      </c>
      <c r="L116" s="24" t="e">
        <f>#REF!</f>
        <v>#REF!</v>
      </c>
      <c r="M116" s="184"/>
      <c r="N116" s="185"/>
      <c r="O116" s="25">
        <f>I116-K116-J116</f>
        <v>0</v>
      </c>
      <c r="P116" s="26">
        <f t="shared" si="61"/>
        <v>86.396238838191152</v>
      </c>
      <c r="Q116" s="331"/>
      <c r="R116" s="331"/>
      <c r="Z116" s="15"/>
      <c r="AA116" s="15"/>
      <c r="AB116" s="15"/>
      <c r="AC116" s="15"/>
      <c r="AD116" s="15"/>
    </row>
    <row r="117" spans="1:50" s="2" customFormat="1" ht="80.25" customHeight="1" x14ac:dyDescent="0.25">
      <c r="A117" s="190" t="s">
        <v>117</v>
      </c>
      <c r="B117" s="41" t="s">
        <v>9</v>
      </c>
      <c r="C117" s="41" t="s">
        <v>12</v>
      </c>
      <c r="D117" s="41" t="s">
        <v>12</v>
      </c>
      <c r="E117" s="41" t="s">
        <v>90</v>
      </c>
      <c r="F117" s="41"/>
      <c r="G117" s="16"/>
      <c r="H117" s="16"/>
      <c r="I117" s="17">
        <f>I118+I119</f>
        <v>65000</v>
      </c>
      <c r="J117" s="17">
        <f t="shared" ref="J117:K117" si="63">J118+J119</f>
        <v>58000</v>
      </c>
      <c r="K117" s="17">
        <f t="shared" si="63"/>
        <v>7000</v>
      </c>
      <c r="L117" s="69"/>
      <c r="M117" s="186"/>
      <c r="N117" s="187"/>
      <c r="O117" s="20">
        <v>0</v>
      </c>
      <c r="P117" s="21">
        <f t="shared" si="61"/>
        <v>89.230769230769241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39.75" customHeight="1" x14ac:dyDescent="0.25">
      <c r="A118" s="175" t="s">
        <v>109</v>
      </c>
      <c r="B118" s="22" t="s">
        <v>9</v>
      </c>
      <c r="C118" s="22" t="s">
        <v>12</v>
      </c>
      <c r="D118" s="22" t="s">
        <v>12</v>
      </c>
      <c r="E118" s="43" t="s">
        <v>90</v>
      </c>
      <c r="F118" s="22" t="s">
        <v>63</v>
      </c>
      <c r="G118" s="22" t="s">
        <v>104</v>
      </c>
      <c r="H118" s="22"/>
      <c r="I118" s="23">
        <f>22000+11560</f>
        <v>33560</v>
      </c>
      <c r="J118" s="34">
        <v>33560</v>
      </c>
      <c r="K118" s="35">
        <f>I118-J118</f>
        <v>0</v>
      </c>
      <c r="L118" s="57"/>
      <c r="M118" s="188"/>
      <c r="N118" s="189"/>
      <c r="O118" s="25">
        <f>O119</f>
        <v>0</v>
      </c>
      <c r="P118" s="26">
        <f t="shared" si="61"/>
        <v>100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75" t="s">
        <v>110</v>
      </c>
      <c r="B119" s="22" t="s">
        <v>9</v>
      </c>
      <c r="C119" s="22" t="s">
        <v>12</v>
      </c>
      <c r="D119" s="22" t="s">
        <v>12</v>
      </c>
      <c r="E119" s="43" t="s">
        <v>90</v>
      </c>
      <c r="F119" s="22" t="s">
        <v>63</v>
      </c>
      <c r="G119" s="22" t="s">
        <v>105</v>
      </c>
      <c r="H119" s="22"/>
      <c r="I119" s="23">
        <f>43000-11560</f>
        <v>31440</v>
      </c>
      <c r="J119" s="34">
        <v>24440</v>
      </c>
      <c r="K119" s="35">
        <f>I119-J119</f>
        <v>7000</v>
      </c>
      <c r="L119" s="49"/>
      <c r="M119" s="188"/>
      <c r="N119" s="189"/>
      <c r="O119" s="25">
        <f>I119-J119-K119</f>
        <v>0</v>
      </c>
      <c r="P119" s="26">
        <f t="shared" si="61"/>
        <v>77.735368956743002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91.5" customHeight="1" x14ac:dyDescent="0.25">
      <c r="A120" s="190" t="s">
        <v>118</v>
      </c>
      <c r="B120" s="41" t="s">
        <v>9</v>
      </c>
      <c r="C120" s="41" t="s">
        <v>12</v>
      </c>
      <c r="D120" s="41" t="s">
        <v>12</v>
      </c>
      <c r="E120" s="16" t="s">
        <v>115</v>
      </c>
      <c r="F120" s="41"/>
      <c r="G120" s="16"/>
      <c r="H120" s="16"/>
      <c r="I120" s="17">
        <f>I121+I122</f>
        <v>13000</v>
      </c>
      <c r="J120" s="17">
        <f t="shared" ref="J120:K120" si="64">J121+J122</f>
        <v>13000</v>
      </c>
      <c r="K120" s="17">
        <f t="shared" si="64"/>
        <v>0</v>
      </c>
      <c r="L120" s="69"/>
      <c r="M120" s="186"/>
      <c r="N120" s="187"/>
      <c r="O120" s="20">
        <v>0</v>
      </c>
      <c r="P120" s="21">
        <f t="shared" si="61"/>
        <v>100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39.75" customHeight="1" x14ac:dyDescent="0.25">
      <c r="A121" s="175" t="s">
        <v>109</v>
      </c>
      <c r="B121" s="22" t="s">
        <v>9</v>
      </c>
      <c r="C121" s="22" t="s">
        <v>12</v>
      </c>
      <c r="D121" s="22" t="s">
        <v>12</v>
      </c>
      <c r="E121" s="43" t="s">
        <v>115</v>
      </c>
      <c r="F121" s="22" t="s">
        <v>63</v>
      </c>
      <c r="G121" s="22" t="s">
        <v>104</v>
      </c>
      <c r="H121" s="22"/>
      <c r="I121" s="23">
        <v>7000</v>
      </c>
      <c r="J121" s="34">
        <v>7000</v>
      </c>
      <c r="K121" s="35">
        <f>I121-J121</f>
        <v>0</v>
      </c>
      <c r="L121" s="57"/>
      <c r="M121" s="188"/>
      <c r="N121" s="189"/>
      <c r="O121" s="25">
        <f>O122</f>
        <v>0</v>
      </c>
      <c r="P121" s="26">
        <f t="shared" si="61"/>
        <v>100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40.5" customHeight="1" x14ac:dyDescent="0.25">
      <c r="A122" s="175" t="s">
        <v>110</v>
      </c>
      <c r="B122" s="22" t="s">
        <v>9</v>
      </c>
      <c r="C122" s="22" t="s">
        <v>12</v>
      </c>
      <c r="D122" s="22" t="s">
        <v>12</v>
      </c>
      <c r="E122" s="43" t="s">
        <v>115</v>
      </c>
      <c r="F122" s="22" t="s">
        <v>63</v>
      </c>
      <c r="G122" s="22" t="s">
        <v>105</v>
      </c>
      <c r="H122" s="22"/>
      <c r="I122" s="23">
        <v>6000</v>
      </c>
      <c r="J122" s="34">
        <v>6000</v>
      </c>
      <c r="K122" s="35">
        <f>I122-J122</f>
        <v>0</v>
      </c>
      <c r="L122" s="49"/>
      <c r="M122" s="188"/>
      <c r="N122" s="189"/>
      <c r="O122" s="25">
        <f>I122-J122-K122</f>
        <v>0</v>
      </c>
      <c r="P122" s="26">
        <f t="shared" si="61"/>
        <v>100</v>
      </c>
      <c r="Q122" s="331"/>
      <c r="R122" s="331"/>
      <c r="S122" s="1"/>
      <c r="T122" s="15"/>
      <c r="U122" s="15"/>
      <c r="V122" s="15"/>
      <c r="W122" s="15"/>
      <c r="X122" s="15"/>
      <c r="Y122" s="1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88.5" customHeight="1" x14ac:dyDescent="0.25">
      <c r="A123" s="190" t="s">
        <v>119</v>
      </c>
      <c r="B123" s="41" t="s">
        <v>9</v>
      </c>
      <c r="C123" s="41" t="s">
        <v>12</v>
      </c>
      <c r="D123" s="41" t="s">
        <v>85</v>
      </c>
      <c r="E123" s="16" t="s">
        <v>116</v>
      </c>
      <c r="F123" s="41"/>
      <c r="G123" s="16"/>
      <c r="H123" s="16"/>
      <c r="I123" s="17">
        <f>I124+I125</f>
        <v>27000</v>
      </c>
      <c r="J123" s="17">
        <f t="shared" ref="J123:K123" si="65">J124+J125</f>
        <v>17000</v>
      </c>
      <c r="K123" s="17">
        <f t="shared" si="65"/>
        <v>10000</v>
      </c>
      <c r="L123" s="69"/>
      <c r="M123" s="186"/>
      <c r="N123" s="187"/>
      <c r="O123" s="20">
        <v>0</v>
      </c>
      <c r="P123" s="21">
        <f t="shared" si="61"/>
        <v>62.962962962962962</v>
      </c>
      <c r="Q123" s="331"/>
      <c r="R123" s="331"/>
      <c r="S123" s="1"/>
      <c r="T123" s="15"/>
      <c r="U123" s="15"/>
      <c r="V123" s="15"/>
      <c r="W123" s="15"/>
      <c r="X123" s="15"/>
      <c r="Y123" s="1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39.75" customHeight="1" x14ac:dyDescent="0.25">
      <c r="A124" s="175" t="s">
        <v>109</v>
      </c>
      <c r="B124" s="22" t="s">
        <v>9</v>
      </c>
      <c r="C124" s="22" t="s">
        <v>12</v>
      </c>
      <c r="D124" s="22" t="s">
        <v>85</v>
      </c>
      <c r="E124" s="43" t="s">
        <v>116</v>
      </c>
      <c r="F124" s="22" t="s">
        <v>63</v>
      </c>
      <c r="G124" s="22" t="s">
        <v>104</v>
      </c>
      <c r="H124" s="22"/>
      <c r="I124" s="23">
        <v>7000</v>
      </c>
      <c r="J124" s="34">
        <v>3000</v>
      </c>
      <c r="K124" s="35">
        <f>I124-J124</f>
        <v>4000</v>
      </c>
      <c r="L124" s="57"/>
      <c r="M124" s="188"/>
      <c r="N124" s="189"/>
      <c r="O124" s="25">
        <f>O125</f>
        <v>0</v>
      </c>
      <c r="P124" s="26">
        <f t="shared" si="61"/>
        <v>42.857142857142854</v>
      </c>
      <c r="Q124" s="331"/>
      <c r="R124" s="331"/>
      <c r="S124" s="1"/>
      <c r="T124" s="15"/>
      <c r="U124" s="15"/>
      <c r="V124" s="15"/>
      <c r="W124" s="15"/>
      <c r="X124" s="15"/>
      <c r="Y124" s="1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40.5" customHeight="1" x14ac:dyDescent="0.25">
      <c r="A125" s="175" t="s">
        <v>110</v>
      </c>
      <c r="B125" s="22" t="s">
        <v>9</v>
      </c>
      <c r="C125" s="22" t="s">
        <v>12</v>
      </c>
      <c r="D125" s="22" t="s">
        <v>85</v>
      </c>
      <c r="E125" s="43" t="s">
        <v>116</v>
      </c>
      <c r="F125" s="22" t="s">
        <v>63</v>
      </c>
      <c r="G125" s="22" t="s">
        <v>105</v>
      </c>
      <c r="H125" s="22"/>
      <c r="I125" s="23">
        <v>20000</v>
      </c>
      <c r="J125" s="34">
        <v>14000</v>
      </c>
      <c r="K125" s="35">
        <f>I125-J125</f>
        <v>6000</v>
      </c>
      <c r="L125" s="49"/>
      <c r="M125" s="188"/>
      <c r="N125" s="189"/>
      <c r="O125" s="25">
        <f>I125-J125-K125</f>
        <v>0</v>
      </c>
      <c r="P125" s="26">
        <f t="shared" si="61"/>
        <v>70</v>
      </c>
      <c r="Q125" s="331"/>
      <c r="R125" s="331"/>
      <c r="S125" s="1"/>
      <c r="T125" s="15"/>
      <c r="U125" s="15"/>
      <c r="V125" s="15"/>
      <c r="W125" s="15"/>
      <c r="X125" s="15"/>
      <c r="Y125" s="1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59.25" customHeight="1" x14ac:dyDescent="0.25">
      <c r="A126" s="86" t="s">
        <v>67</v>
      </c>
      <c r="B126" s="41" t="s">
        <v>9</v>
      </c>
      <c r="C126" s="41" t="s">
        <v>68</v>
      </c>
      <c r="D126" s="41" t="s">
        <v>69</v>
      </c>
      <c r="E126" s="41" t="s">
        <v>70</v>
      </c>
      <c r="F126" s="41"/>
      <c r="G126" s="41"/>
      <c r="H126" s="41"/>
      <c r="I126" s="17">
        <f>I127+I129+I131+I132+I128+I130</f>
        <v>85000</v>
      </c>
      <c r="J126" s="17">
        <f>J127+J129+J131+J132+J128+J130</f>
        <v>64603</v>
      </c>
      <c r="K126" s="17">
        <f>K127+K129+K131+K132+K128+K130</f>
        <v>20397</v>
      </c>
      <c r="L126" s="17" t="e">
        <f>L127+#REF!+#REF!</f>
        <v>#REF!</v>
      </c>
      <c r="M126" s="17" t="e">
        <f>M127+#REF!+#REF!</f>
        <v>#REF!</v>
      </c>
      <c r="N126" s="17" t="e">
        <f>N127+#REF!+#REF!</f>
        <v>#REF!</v>
      </c>
      <c r="O126" s="89">
        <f>I126-J126-K126</f>
        <v>0</v>
      </c>
      <c r="P126" s="21">
        <f t="shared" si="61"/>
        <v>76.003529411764703</v>
      </c>
      <c r="Q126" s="331"/>
      <c r="R126" s="33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18.75" x14ac:dyDescent="0.25">
      <c r="A127" s="175" t="s">
        <v>43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44</v>
      </c>
      <c r="H127" s="22"/>
      <c r="I127" s="23">
        <f>32600+18500</f>
        <v>51100</v>
      </c>
      <c r="J127" s="23">
        <v>46280</v>
      </c>
      <c r="K127" s="23">
        <f>I127-J127</f>
        <v>4820</v>
      </c>
      <c r="L127" s="93"/>
      <c r="M127" s="188"/>
      <c r="N127" s="189"/>
      <c r="O127" s="25">
        <f>I127-J127-K127</f>
        <v>0</v>
      </c>
      <c r="P127" s="26">
        <f>J127/I127*100</f>
        <v>90.567514677103716</v>
      </c>
      <c r="Q127" s="331"/>
      <c r="R127" s="331"/>
      <c r="S127" s="15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18.75" x14ac:dyDescent="0.25">
      <c r="A128" s="175" t="s">
        <v>123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124</v>
      </c>
      <c r="H128" s="22"/>
      <c r="I128" s="23">
        <v>7500</v>
      </c>
      <c r="J128" s="34">
        <v>5700</v>
      </c>
      <c r="K128" s="23">
        <f t="shared" ref="K128:K132" si="66">I128-J128</f>
        <v>1800</v>
      </c>
      <c r="L128" s="93"/>
      <c r="M128" s="188"/>
      <c r="N128" s="189"/>
      <c r="O128" s="25">
        <f t="shared" ref="O128:O140" si="67">I128-J128-K128</f>
        <v>0</v>
      </c>
      <c r="P128" s="26">
        <f>J128/I128*100</f>
        <v>76</v>
      </c>
      <c r="Q128" s="338"/>
      <c r="R128" s="339"/>
      <c r="S128" s="15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37.5" x14ac:dyDescent="0.25">
      <c r="A129" s="175" t="s">
        <v>106</v>
      </c>
      <c r="B129" s="22" t="s">
        <v>9</v>
      </c>
      <c r="C129" s="22" t="s">
        <v>68</v>
      </c>
      <c r="D129" s="22" t="s">
        <v>69</v>
      </c>
      <c r="E129" s="22" t="s">
        <v>70</v>
      </c>
      <c r="F129" s="22" t="s">
        <v>63</v>
      </c>
      <c r="G129" s="22" t="s">
        <v>101</v>
      </c>
      <c r="H129" s="22"/>
      <c r="I129" s="23">
        <f>2500+1500</f>
        <v>4000</v>
      </c>
      <c r="J129" s="34">
        <v>4000</v>
      </c>
      <c r="K129" s="23">
        <f t="shared" si="66"/>
        <v>0</v>
      </c>
      <c r="L129" s="93"/>
      <c r="M129" s="188"/>
      <c r="N129" s="189"/>
      <c r="O129" s="25">
        <f t="shared" si="67"/>
        <v>0</v>
      </c>
      <c r="P129" s="26">
        <v>0</v>
      </c>
      <c r="Q129" s="331"/>
      <c r="R129" s="33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18.75" x14ac:dyDescent="0.25">
      <c r="A130" s="175" t="s">
        <v>108</v>
      </c>
      <c r="B130" s="22" t="s">
        <v>9</v>
      </c>
      <c r="C130" s="22" t="s">
        <v>68</v>
      </c>
      <c r="D130" s="22" t="s">
        <v>69</v>
      </c>
      <c r="E130" s="22" t="s">
        <v>70</v>
      </c>
      <c r="F130" s="22" t="s">
        <v>63</v>
      </c>
      <c r="G130" s="22" t="s">
        <v>103</v>
      </c>
      <c r="H130" s="22"/>
      <c r="I130" s="23">
        <v>0</v>
      </c>
      <c r="J130" s="34">
        <v>0</v>
      </c>
      <c r="K130" s="23">
        <f t="shared" si="66"/>
        <v>0</v>
      </c>
      <c r="L130" s="93"/>
      <c r="M130" s="188"/>
      <c r="N130" s="189"/>
      <c r="O130" s="25">
        <f t="shared" si="67"/>
        <v>0</v>
      </c>
      <c r="P130" s="26"/>
      <c r="Q130" s="338"/>
      <c r="R130" s="339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37.5" customHeight="1" x14ac:dyDescent="0.25">
      <c r="A131" s="175" t="s">
        <v>109</v>
      </c>
      <c r="B131" s="22" t="s">
        <v>9</v>
      </c>
      <c r="C131" s="22" t="s">
        <v>68</v>
      </c>
      <c r="D131" s="22" t="s">
        <v>69</v>
      </c>
      <c r="E131" s="22" t="s">
        <v>70</v>
      </c>
      <c r="F131" s="22" t="s">
        <v>63</v>
      </c>
      <c r="G131" s="22" t="s">
        <v>104</v>
      </c>
      <c r="H131" s="22"/>
      <c r="I131" s="23">
        <v>12400</v>
      </c>
      <c r="J131" s="34">
        <v>871</v>
      </c>
      <c r="K131" s="23">
        <f t="shared" si="66"/>
        <v>11529</v>
      </c>
      <c r="L131" s="93"/>
      <c r="M131" s="188"/>
      <c r="N131" s="189"/>
      <c r="O131" s="25">
        <f t="shared" si="67"/>
        <v>0</v>
      </c>
      <c r="P131" s="26">
        <v>0</v>
      </c>
      <c r="Q131" s="331"/>
      <c r="R131" s="3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37.5" x14ac:dyDescent="0.25">
      <c r="A132" s="175" t="s">
        <v>110</v>
      </c>
      <c r="B132" s="22" t="s">
        <v>9</v>
      </c>
      <c r="C132" s="22" t="s">
        <v>68</v>
      </c>
      <c r="D132" s="22" t="s">
        <v>69</v>
      </c>
      <c r="E132" s="22" t="s">
        <v>70</v>
      </c>
      <c r="F132" s="22" t="s">
        <v>63</v>
      </c>
      <c r="G132" s="22" t="s">
        <v>105</v>
      </c>
      <c r="H132" s="22"/>
      <c r="I132" s="23">
        <v>10000</v>
      </c>
      <c r="J132" s="34">
        <v>7752</v>
      </c>
      <c r="K132" s="23">
        <f t="shared" si="66"/>
        <v>2248</v>
      </c>
      <c r="L132" s="93"/>
      <c r="M132" s="188"/>
      <c r="N132" s="189"/>
      <c r="O132" s="25">
        <f t="shared" si="67"/>
        <v>0</v>
      </c>
      <c r="P132" s="26">
        <f t="shared" ref="P132:P153" si="68">J132/I132*100</f>
        <v>77.52</v>
      </c>
      <c r="Q132" s="331"/>
      <c r="R132" s="33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82.5" hidden="1" customHeight="1" x14ac:dyDescent="0.25">
      <c r="A133" s="190" t="s">
        <v>125</v>
      </c>
      <c r="B133" s="41" t="s">
        <v>9</v>
      </c>
      <c r="C133" s="41" t="s">
        <v>12</v>
      </c>
      <c r="D133" s="41" t="s">
        <v>12</v>
      </c>
      <c r="E133" s="41" t="s">
        <v>126</v>
      </c>
      <c r="F133" s="41"/>
      <c r="G133" s="16"/>
      <c r="H133" s="16"/>
      <c r="I133" s="17">
        <f>I134+I135</f>
        <v>0</v>
      </c>
      <c r="J133" s="17">
        <f t="shared" ref="J133:K133" si="69">J134+J135</f>
        <v>0</v>
      </c>
      <c r="K133" s="17">
        <f t="shared" si="69"/>
        <v>0</v>
      </c>
      <c r="L133" s="69"/>
      <c r="M133" s="186"/>
      <c r="N133" s="187"/>
      <c r="O133" s="20">
        <f t="shared" si="67"/>
        <v>0</v>
      </c>
      <c r="P133" s="21" t="e">
        <f t="shared" si="68"/>
        <v>#DIV/0!</v>
      </c>
      <c r="Q133" s="321"/>
      <c r="R133" s="32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18.75" hidden="1" x14ac:dyDescent="0.25">
      <c r="A134" s="175" t="s">
        <v>27</v>
      </c>
      <c r="B134" s="22" t="s">
        <v>9</v>
      </c>
      <c r="C134" s="22" t="s">
        <v>12</v>
      </c>
      <c r="D134" s="22" t="s">
        <v>12</v>
      </c>
      <c r="E134" s="43" t="s">
        <v>126</v>
      </c>
      <c r="F134" s="22" t="s">
        <v>63</v>
      </c>
      <c r="G134" s="22" t="s">
        <v>28</v>
      </c>
      <c r="H134" s="22"/>
      <c r="I134" s="121">
        <v>0</v>
      </c>
      <c r="J134" s="122">
        <v>0</v>
      </c>
      <c r="K134" s="35">
        <f>I134-J134</f>
        <v>0</v>
      </c>
      <c r="L134" s="57"/>
      <c r="M134" s="188"/>
      <c r="N134" s="189"/>
      <c r="O134" s="25">
        <f t="shared" si="67"/>
        <v>0</v>
      </c>
      <c r="P134" s="26" t="e">
        <f t="shared" si="68"/>
        <v>#DIV/0!</v>
      </c>
      <c r="Q134" s="325"/>
      <c r="R134" s="326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18.75" hidden="1" x14ac:dyDescent="0.25">
      <c r="A135" s="99" t="s">
        <v>31</v>
      </c>
      <c r="B135" s="22" t="s">
        <v>9</v>
      </c>
      <c r="C135" s="22" t="s">
        <v>12</v>
      </c>
      <c r="D135" s="22" t="s">
        <v>12</v>
      </c>
      <c r="E135" s="43" t="s">
        <v>126</v>
      </c>
      <c r="F135" s="22" t="s">
        <v>63</v>
      </c>
      <c r="G135" s="22" t="s">
        <v>32</v>
      </c>
      <c r="H135" s="22"/>
      <c r="I135" s="121">
        <v>0</v>
      </c>
      <c r="J135" s="122">
        <v>0</v>
      </c>
      <c r="K135" s="35">
        <f>I135-J135</f>
        <v>0</v>
      </c>
      <c r="L135" s="49"/>
      <c r="M135" s="188"/>
      <c r="N135" s="189"/>
      <c r="O135" s="25">
        <f t="shared" si="67"/>
        <v>0</v>
      </c>
      <c r="P135" s="26" t="e">
        <f t="shared" si="68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65.25" customHeight="1" x14ac:dyDescent="0.25">
      <c r="A136" s="199" t="s">
        <v>142</v>
      </c>
      <c r="B136" s="104" t="s">
        <v>9</v>
      </c>
      <c r="C136" s="104" t="s">
        <v>68</v>
      </c>
      <c r="D136" s="104" t="s">
        <v>14</v>
      </c>
      <c r="E136" s="104" t="s">
        <v>137</v>
      </c>
      <c r="F136" s="104"/>
      <c r="G136" s="105"/>
      <c r="H136" s="105"/>
      <c r="I136" s="17">
        <f>I137</f>
        <v>20000</v>
      </c>
      <c r="J136" s="17">
        <f t="shared" ref="J136:K136" si="70">J137</f>
        <v>9298</v>
      </c>
      <c r="K136" s="17">
        <f t="shared" si="70"/>
        <v>10702</v>
      </c>
      <c r="L136" s="115"/>
      <c r="M136" s="195"/>
      <c r="N136" s="196"/>
      <c r="O136" s="20">
        <f>I136-J136-K136</f>
        <v>0</v>
      </c>
      <c r="P136" s="21">
        <f t="shared" si="68"/>
        <v>46.489999999999995</v>
      </c>
      <c r="Q136" s="321"/>
      <c r="R136" s="32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49.5" customHeight="1" x14ac:dyDescent="0.25">
      <c r="A137" s="175" t="s">
        <v>109</v>
      </c>
      <c r="B137" s="112" t="s">
        <v>9</v>
      </c>
      <c r="C137" s="112" t="s">
        <v>68</v>
      </c>
      <c r="D137" s="112" t="s">
        <v>14</v>
      </c>
      <c r="E137" s="113" t="s">
        <v>137</v>
      </c>
      <c r="F137" s="112" t="s">
        <v>63</v>
      </c>
      <c r="G137" s="112" t="s">
        <v>104</v>
      </c>
      <c r="H137" s="112"/>
      <c r="I137" s="23">
        <v>20000</v>
      </c>
      <c r="J137" s="34">
        <v>9298</v>
      </c>
      <c r="K137" s="35">
        <f t="shared" ref="K137:K139" si="71">I137-J137</f>
        <v>10702</v>
      </c>
      <c r="L137" s="114"/>
      <c r="M137" s="188"/>
      <c r="N137" s="189"/>
      <c r="O137" s="25">
        <f t="shared" si="67"/>
        <v>0</v>
      </c>
      <c r="P137" s="26">
        <f t="shared" si="68"/>
        <v>46.489999999999995</v>
      </c>
      <c r="Q137" s="323"/>
      <c r="R137" s="3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60" hidden="1" customHeight="1" x14ac:dyDescent="0.25">
      <c r="A138" s="199" t="s">
        <v>143</v>
      </c>
      <c r="B138" s="104" t="s">
        <v>9</v>
      </c>
      <c r="C138" s="104" t="s">
        <v>12</v>
      </c>
      <c r="D138" s="104" t="s">
        <v>14</v>
      </c>
      <c r="E138" s="104" t="s">
        <v>138</v>
      </c>
      <c r="F138" s="104"/>
      <c r="G138" s="104"/>
      <c r="H138" s="104"/>
      <c r="I138" s="106">
        <f>I139</f>
        <v>0</v>
      </c>
      <c r="J138" s="106">
        <f t="shared" ref="J138:K138" si="72">J139</f>
        <v>0</v>
      </c>
      <c r="K138" s="106">
        <f t="shared" si="72"/>
        <v>0</v>
      </c>
      <c r="L138" s="115"/>
      <c r="M138" s="195"/>
      <c r="N138" s="196"/>
      <c r="O138" s="20">
        <f>I138-J138-K138</f>
        <v>0</v>
      </c>
      <c r="P138" s="21" t="e">
        <f t="shared" si="68"/>
        <v>#DIV/0!</v>
      </c>
      <c r="Q138" s="321"/>
      <c r="R138" s="32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27.75" hidden="1" customHeight="1" x14ac:dyDescent="0.25">
      <c r="A139" s="99" t="s">
        <v>47</v>
      </c>
      <c r="B139" s="112" t="s">
        <v>9</v>
      </c>
      <c r="C139" s="112" t="s">
        <v>12</v>
      </c>
      <c r="D139" s="112" t="s">
        <v>14</v>
      </c>
      <c r="E139" s="113" t="s">
        <v>138</v>
      </c>
      <c r="F139" s="112" t="s">
        <v>63</v>
      </c>
      <c r="G139" s="112" t="s">
        <v>48</v>
      </c>
      <c r="H139" s="112"/>
      <c r="I139" s="118">
        <v>0</v>
      </c>
      <c r="J139" s="158">
        <v>0</v>
      </c>
      <c r="K139" s="118">
        <f t="shared" si="71"/>
        <v>0</v>
      </c>
      <c r="L139" s="114"/>
      <c r="M139" s="188"/>
      <c r="N139" s="189"/>
      <c r="O139" s="119">
        <f t="shared" si="67"/>
        <v>0</v>
      </c>
      <c r="P139" s="120" t="e">
        <f t="shared" si="68"/>
        <v>#DIV/0!</v>
      </c>
      <c r="Q139" s="323"/>
      <c r="R139" s="32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82.5" hidden="1" customHeight="1" x14ac:dyDescent="0.25">
      <c r="A140" s="190" t="s">
        <v>127</v>
      </c>
      <c r="B140" s="104" t="s">
        <v>9</v>
      </c>
      <c r="C140" s="104" t="s">
        <v>12</v>
      </c>
      <c r="D140" s="104" t="s">
        <v>85</v>
      </c>
      <c r="E140" s="104" t="s">
        <v>86</v>
      </c>
      <c r="F140" s="104"/>
      <c r="G140" s="105"/>
      <c r="H140" s="105"/>
      <c r="I140" s="106">
        <f>I141+I142</f>
        <v>0</v>
      </c>
      <c r="J140" s="106">
        <f>J141+J142</f>
        <v>0</v>
      </c>
      <c r="K140" s="106">
        <f>K141+K142</f>
        <v>0</v>
      </c>
      <c r="L140" s="106">
        <f t="shared" ref="L140:N140" si="73">L141</f>
        <v>0</v>
      </c>
      <c r="M140" s="106">
        <f t="shared" si="73"/>
        <v>0</v>
      </c>
      <c r="N140" s="106">
        <f t="shared" si="73"/>
        <v>0</v>
      </c>
      <c r="O140" s="107">
        <f t="shared" si="67"/>
        <v>0</v>
      </c>
      <c r="P140" s="108" t="e">
        <f t="shared" si="68"/>
        <v>#DIV/0!</v>
      </c>
      <c r="Q140" s="321"/>
      <c r="R140" s="32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" customFormat="1" ht="18.75" hidden="1" x14ac:dyDescent="0.25">
      <c r="A141" s="175" t="s">
        <v>41</v>
      </c>
      <c r="B141" s="22" t="s">
        <v>9</v>
      </c>
      <c r="C141" s="22" t="s">
        <v>12</v>
      </c>
      <c r="D141" s="22" t="s">
        <v>85</v>
      </c>
      <c r="E141" s="22" t="s">
        <v>86</v>
      </c>
      <c r="F141" s="22" t="s">
        <v>63</v>
      </c>
      <c r="G141" s="22" t="s">
        <v>42</v>
      </c>
      <c r="H141" s="22"/>
      <c r="I141" s="121"/>
      <c r="J141" s="121"/>
      <c r="K141" s="23">
        <f>I141-J141</f>
        <v>0</v>
      </c>
      <c r="L141" s="109"/>
      <c r="M141" s="110"/>
      <c r="N141" s="111"/>
      <c r="O141" s="25">
        <f>I141-J141-K141</f>
        <v>0</v>
      </c>
      <c r="P141" s="26" t="e">
        <f t="shared" si="68"/>
        <v>#DIV/0!</v>
      </c>
      <c r="Q141" s="323"/>
      <c r="R141" s="32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" customFormat="1" ht="18.75" hidden="1" x14ac:dyDescent="0.25">
      <c r="A142" s="99" t="s">
        <v>47</v>
      </c>
      <c r="B142" s="22" t="s">
        <v>9</v>
      </c>
      <c r="C142" s="22" t="s">
        <v>12</v>
      </c>
      <c r="D142" s="22" t="s">
        <v>85</v>
      </c>
      <c r="E142" s="22" t="s">
        <v>86</v>
      </c>
      <c r="F142" s="22" t="s">
        <v>63</v>
      </c>
      <c r="G142" s="22" t="s">
        <v>48</v>
      </c>
      <c r="H142" s="22"/>
      <c r="I142" s="121"/>
      <c r="J142" s="121">
        <v>0</v>
      </c>
      <c r="K142" s="23">
        <f>I142-J142</f>
        <v>0</v>
      </c>
      <c r="L142" s="109"/>
      <c r="M142" s="110"/>
      <c r="N142" s="111"/>
      <c r="O142" s="25">
        <f t="shared" ref="O142" si="74">I142-J142-K142</f>
        <v>0</v>
      </c>
      <c r="P142" s="26" t="e">
        <f t="shared" si="68"/>
        <v>#DIV/0!</v>
      </c>
      <c r="Q142" s="299"/>
      <c r="R142" s="300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" customFormat="1" ht="60" hidden="1" customHeight="1" x14ac:dyDescent="0.25">
      <c r="A143" s="40" t="s">
        <v>139</v>
      </c>
      <c r="B143" s="104" t="s">
        <v>9</v>
      </c>
      <c r="C143" s="104" t="s">
        <v>12</v>
      </c>
      <c r="D143" s="104" t="s">
        <v>14</v>
      </c>
      <c r="E143" s="104" t="s">
        <v>135</v>
      </c>
      <c r="F143" s="104"/>
      <c r="G143" s="104"/>
      <c r="H143" s="104"/>
      <c r="I143" s="106">
        <f>I144</f>
        <v>0</v>
      </c>
      <c r="J143" s="106">
        <f t="shared" ref="J143:K143" si="75">J144</f>
        <v>0</v>
      </c>
      <c r="K143" s="106">
        <f t="shared" si="75"/>
        <v>0</v>
      </c>
      <c r="L143" s="115"/>
      <c r="M143" s="195"/>
      <c r="N143" s="196"/>
      <c r="O143" s="20">
        <f>I143-J143-K143</f>
        <v>0</v>
      </c>
      <c r="P143" s="21" t="e">
        <f t="shared" si="68"/>
        <v>#DIV/0!</v>
      </c>
      <c r="Q143" s="321"/>
      <c r="R143" s="3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10.5" hidden="1" customHeight="1" x14ac:dyDescent="0.25">
      <c r="A144" s="99" t="s">
        <v>47</v>
      </c>
      <c r="B144" s="112" t="s">
        <v>9</v>
      </c>
      <c r="C144" s="112" t="s">
        <v>12</v>
      </c>
      <c r="D144" s="112" t="s">
        <v>14</v>
      </c>
      <c r="E144" s="105" t="s">
        <v>144</v>
      </c>
      <c r="F144" s="112" t="s">
        <v>63</v>
      </c>
      <c r="G144" s="112" t="s">
        <v>48</v>
      </c>
      <c r="H144" s="112"/>
      <c r="I144" s="123">
        <v>0</v>
      </c>
      <c r="J144" s="124">
        <v>0</v>
      </c>
      <c r="K144" s="118">
        <f t="shared" ref="K144" si="76">I144-J144</f>
        <v>0</v>
      </c>
      <c r="L144" s="114"/>
      <c r="M144" s="188"/>
      <c r="N144" s="189"/>
      <c r="O144" s="119">
        <f t="shared" ref="O144:O146" si="77">I144-J144-K144</f>
        <v>0</v>
      </c>
      <c r="P144" s="120" t="e">
        <f t="shared" si="68"/>
        <v>#DIV/0!</v>
      </c>
      <c r="Q144" s="323"/>
      <c r="R144" s="32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16.25" customHeight="1" x14ac:dyDescent="0.25">
      <c r="A145" s="190" t="s">
        <v>154</v>
      </c>
      <c r="B145" s="41" t="s">
        <v>9</v>
      </c>
      <c r="C145" s="41" t="s">
        <v>12</v>
      </c>
      <c r="D145" s="41" t="s">
        <v>14</v>
      </c>
      <c r="E145" s="41" t="s">
        <v>155</v>
      </c>
      <c r="F145" s="41"/>
      <c r="G145" s="41"/>
      <c r="H145" s="41"/>
      <c r="I145" s="17">
        <f>I146</f>
        <v>9742.86</v>
      </c>
      <c r="J145" s="55">
        <f>J146</f>
        <v>4525.5200000000004</v>
      </c>
      <c r="K145" s="55">
        <f>I145-J145</f>
        <v>5217.34</v>
      </c>
      <c r="L145" s="18" t="e">
        <f>L146</f>
        <v>#REF!</v>
      </c>
      <c r="M145" s="186"/>
      <c r="N145" s="187"/>
      <c r="O145" s="20">
        <f t="shared" si="77"/>
        <v>0</v>
      </c>
      <c r="P145" s="21">
        <f>J145/I145*100</f>
        <v>46.449605146743359</v>
      </c>
      <c r="Q145" s="331"/>
      <c r="R145" s="331"/>
      <c r="S145" s="15"/>
    </row>
    <row r="146" spans="1:50" ht="18.75" x14ac:dyDescent="0.25">
      <c r="A146" s="99" t="s">
        <v>113</v>
      </c>
      <c r="B146" s="22" t="s">
        <v>9</v>
      </c>
      <c r="C146" s="22" t="s">
        <v>12</v>
      </c>
      <c r="D146" s="22" t="s">
        <v>14</v>
      </c>
      <c r="E146" s="22" t="s">
        <v>155</v>
      </c>
      <c r="F146" s="22" t="s">
        <v>63</v>
      </c>
      <c r="G146" s="22" t="s">
        <v>114</v>
      </c>
      <c r="H146" s="22"/>
      <c r="I146" s="23">
        <v>9742.86</v>
      </c>
      <c r="J146" s="34">
        <v>4525.5200000000004</v>
      </c>
      <c r="K146" s="34">
        <f>I146-J146</f>
        <v>5217.34</v>
      </c>
      <c r="L146" s="24" t="e">
        <f>#REF!</f>
        <v>#REF!</v>
      </c>
      <c r="M146" s="184"/>
      <c r="N146" s="185"/>
      <c r="O146" s="25">
        <f t="shared" si="77"/>
        <v>0</v>
      </c>
      <c r="P146" s="26">
        <f>J146/I146*100</f>
        <v>46.449605146743359</v>
      </c>
      <c r="Q146" s="331"/>
      <c r="R146" s="331"/>
      <c r="Z146" s="15"/>
      <c r="AA146" s="15"/>
      <c r="AB146" s="15"/>
      <c r="AC146" s="15"/>
      <c r="AD146" s="15"/>
    </row>
    <row r="147" spans="1:50" s="2" customFormat="1" ht="60" customHeight="1" x14ac:dyDescent="0.25">
      <c r="A147" s="199" t="s">
        <v>145</v>
      </c>
      <c r="B147" s="104" t="s">
        <v>9</v>
      </c>
      <c r="C147" s="104" t="s">
        <v>12</v>
      </c>
      <c r="D147" s="104" t="s">
        <v>12</v>
      </c>
      <c r="E147" s="104" t="s">
        <v>126</v>
      </c>
      <c r="F147" s="104"/>
      <c r="G147" s="104"/>
      <c r="H147" s="104"/>
      <c r="I147" s="106">
        <f>I148+I149</f>
        <v>130000</v>
      </c>
      <c r="J147" s="106">
        <f>J149+J148</f>
        <v>130000</v>
      </c>
      <c r="K147" s="106">
        <f>K149+K148</f>
        <v>0</v>
      </c>
      <c r="L147" s="115"/>
      <c r="M147" s="195"/>
      <c r="N147" s="196"/>
      <c r="O147" s="20">
        <f>I147-J147-K147</f>
        <v>0</v>
      </c>
      <c r="P147" s="21">
        <f t="shared" si="68"/>
        <v>100</v>
      </c>
      <c r="Q147" s="321"/>
      <c r="R147" s="32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3" customHeight="1" x14ac:dyDescent="0.25">
      <c r="A148" s="194" t="s">
        <v>27</v>
      </c>
      <c r="B148" s="112" t="s">
        <v>9</v>
      </c>
      <c r="C148" s="112" t="s">
        <v>12</v>
      </c>
      <c r="D148" s="112" t="s">
        <v>12</v>
      </c>
      <c r="E148" s="112" t="s">
        <v>126</v>
      </c>
      <c r="F148" s="112" t="s">
        <v>63</v>
      </c>
      <c r="G148" s="112" t="s">
        <v>28</v>
      </c>
      <c r="H148" s="129"/>
      <c r="I148" s="116">
        <v>99846.39</v>
      </c>
      <c r="J148" s="117">
        <v>99846.39</v>
      </c>
      <c r="K148" s="116">
        <f>I148-J148</f>
        <v>0</v>
      </c>
      <c r="L148" s="131"/>
      <c r="M148" s="184"/>
      <c r="N148" s="185"/>
      <c r="O148" s="119">
        <f t="shared" ref="O148:O149" si="78">I148-J148-K148</f>
        <v>0</v>
      </c>
      <c r="P148" s="120">
        <f t="shared" si="68"/>
        <v>100</v>
      </c>
      <c r="Q148" s="325"/>
      <c r="R148" s="326"/>
    </row>
    <row r="149" spans="1:50" s="2" customFormat="1" ht="27.75" customHeight="1" x14ac:dyDescent="0.25">
      <c r="A149" s="175" t="s">
        <v>31</v>
      </c>
      <c r="B149" s="112" t="s">
        <v>9</v>
      </c>
      <c r="C149" s="112" t="s">
        <v>12</v>
      </c>
      <c r="D149" s="112" t="s">
        <v>12</v>
      </c>
      <c r="E149" s="112" t="s">
        <v>126</v>
      </c>
      <c r="F149" s="112" t="s">
        <v>63</v>
      </c>
      <c r="G149" s="112" t="s">
        <v>32</v>
      </c>
      <c r="H149" s="112"/>
      <c r="I149" s="116">
        <v>30153.61</v>
      </c>
      <c r="J149" s="117">
        <v>30153.61</v>
      </c>
      <c r="K149" s="116">
        <f>I149-J149</f>
        <v>0</v>
      </c>
      <c r="L149" s="131"/>
      <c r="M149" s="182"/>
      <c r="N149" s="183"/>
      <c r="O149" s="119">
        <f t="shared" si="78"/>
        <v>0</v>
      </c>
      <c r="P149" s="120">
        <f t="shared" si="68"/>
        <v>100</v>
      </c>
      <c r="Q149" s="323"/>
      <c r="R149" s="3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60" hidden="1" customHeight="1" x14ac:dyDescent="0.25">
      <c r="A150" s="199" t="s">
        <v>148</v>
      </c>
      <c r="B150" s="104" t="s">
        <v>9</v>
      </c>
      <c r="C150" s="104" t="s">
        <v>12</v>
      </c>
      <c r="D150" s="104" t="s">
        <v>85</v>
      </c>
      <c r="E150" s="104" t="s">
        <v>147</v>
      </c>
      <c r="F150" s="104"/>
      <c r="G150" s="104"/>
      <c r="H150" s="104"/>
      <c r="I150" s="106">
        <f>I151</f>
        <v>0</v>
      </c>
      <c r="J150" s="106">
        <f t="shared" ref="J150:K152" si="79">J151</f>
        <v>0</v>
      </c>
      <c r="K150" s="106">
        <f t="shared" si="79"/>
        <v>0</v>
      </c>
      <c r="L150" s="115"/>
      <c r="M150" s="195"/>
      <c r="N150" s="196"/>
      <c r="O150" s="20">
        <f>I150-J150-K150</f>
        <v>0</v>
      </c>
      <c r="P150" s="21" t="e">
        <f t="shared" si="68"/>
        <v>#DIV/0!</v>
      </c>
      <c r="Q150" s="321"/>
      <c r="R150" s="32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" customFormat="1" ht="27.75" hidden="1" customHeight="1" x14ac:dyDescent="0.25">
      <c r="A151" s="99" t="s">
        <v>43</v>
      </c>
      <c r="B151" s="112" t="s">
        <v>9</v>
      </c>
      <c r="C151" s="112" t="s">
        <v>12</v>
      </c>
      <c r="D151" s="112" t="s">
        <v>85</v>
      </c>
      <c r="E151" s="105" t="s">
        <v>147</v>
      </c>
      <c r="F151" s="112" t="s">
        <v>63</v>
      </c>
      <c r="G151" s="112" t="s">
        <v>44</v>
      </c>
      <c r="H151" s="112"/>
      <c r="I151" s="118">
        <v>0</v>
      </c>
      <c r="J151" s="158">
        <v>0</v>
      </c>
      <c r="K151" s="118">
        <f t="shared" ref="K151" si="80">I151-J151</f>
        <v>0</v>
      </c>
      <c r="L151" s="114"/>
      <c r="M151" s="188"/>
      <c r="N151" s="189"/>
      <c r="O151" s="119">
        <f t="shared" ref="O151" si="81">I151-J151-K151</f>
        <v>0</v>
      </c>
      <c r="P151" s="120" t="e">
        <f t="shared" si="68"/>
        <v>#DIV/0!</v>
      </c>
      <c r="Q151" s="323"/>
      <c r="R151" s="32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" customFormat="1" ht="41.25" customHeight="1" x14ac:dyDescent="0.25">
      <c r="A152" s="199" t="s">
        <v>161</v>
      </c>
      <c r="B152" s="104" t="s">
        <v>9</v>
      </c>
      <c r="C152" s="104" t="s">
        <v>12</v>
      </c>
      <c r="D152" s="104" t="s">
        <v>85</v>
      </c>
      <c r="E152" s="104" t="s">
        <v>162</v>
      </c>
      <c r="F152" s="104" t="s">
        <v>63</v>
      </c>
      <c r="G152" s="104" t="s">
        <v>42</v>
      </c>
      <c r="H152" s="104"/>
      <c r="I152" s="106">
        <f>I153</f>
        <v>63000</v>
      </c>
      <c r="J152" s="106">
        <f t="shared" si="79"/>
        <v>63000</v>
      </c>
      <c r="K152" s="106">
        <f t="shared" si="79"/>
        <v>0</v>
      </c>
      <c r="L152" s="115"/>
      <c r="M152" s="195"/>
      <c r="N152" s="196"/>
      <c r="O152" s="20">
        <f>I152-J152-K152</f>
        <v>0</v>
      </c>
      <c r="P152" s="21">
        <f t="shared" si="68"/>
        <v>100</v>
      </c>
      <c r="Q152" s="321"/>
      <c r="R152" s="32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" customFormat="1" ht="27.75" customHeight="1" x14ac:dyDescent="0.25">
      <c r="A153" s="99" t="s">
        <v>43</v>
      </c>
      <c r="B153" s="112" t="s">
        <v>9</v>
      </c>
      <c r="C153" s="112" t="s">
        <v>12</v>
      </c>
      <c r="D153" s="112" t="s">
        <v>85</v>
      </c>
      <c r="E153" s="113" t="s">
        <v>162</v>
      </c>
      <c r="F153" s="112" t="s">
        <v>63</v>
      </c>
      <c r="G153" s="112" t="s">
        <v>42</v>
      </c>
      <c r="H153" s="112"/>
      <c r="I153" s="116">
        <v>63000</v>
      </c>
      <c r="J153" s="117">
        <v>63000</v>
      </c>
      <c r="K153" s="118">
        <f t="shared" ref="K153" si="82">I153-J153</f>
        <v>0</v>
      </c>
      <c r="L153" s="114"/>
      <c r="M153" s="188"/>
      <c r="N153" s="189"/>
      <c r="O153" s="119">
        <f>I153-J153-K153</f>
        <v>0</v>
      </c>
      <c r="P153" s="120">
        <f t="shared" si="68"/>
        <v>100</v>
      </c>
      <c r="Q153" s="323"/>
      <c r="R153" s="32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" customFormat="1" ht="22.5" customHeight="1" x14ac:dyDescent="0.3">
      <c r="A154" s="333" t="s">
        <v>71</v>
      </c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5"/>
      <c r="Q154" s="336"/>
      <c r="R154" s="337"/>
    </row>
    <row r="155" spans="1:50" ht="78" x14ac:dyDescent="0.25">
      <c r="A155" s="51" t="s">
        <v>8</v>
      </c>
      <c r="B155" s="52" t="s">
        <v>9</v>
      </c>
      <c r="C155" s="52"/>
      <c r="D155" s="52"/>
      <c r="E155" s="52"/>
      <c r="F155" s="52"/>
      <c r="G155" s="52"/>
      <c r="H155" s="52"/>
      <c r="I155" s="53">
        <f>I156+I167+I163+I171+I173+I178+I181+I184+I159+I161</f>
        <v>17031924.57</v>
      </c>
      <c r="J155" s="53">
        <f>J156+J167+J163+J173+J178+J171+J181+J184+J159+J161</f>
        <v>12456530.859999999</v>
      </c>
      <c r="K155" s="53">
        <f>K156+K167+K163+K171+K173+K178+K181+K184+K159+K161</f>
        <v>3576154.2800000003</v>
      </c>
      <c r="L155" s="53" t="e">
        <f>L156+L167</f>
        <v>#REF!</v>
      </c>
      <c r="M155" s="53" t="e">
        <f>M156+M167</f>
        <v>#REF!</v>
      </c>
      <c r="N155" s="53" t="e">
        <f>N156+N167</f>
        <v>#REF!</v>
      </c>
      <c r="O155" s="53">
        <f>I155-J155-K155</f>
        <v>999239.43000000063</v>
      </c>
      <c r="P155" s="53">
        <f>(P156+P167)/2</f>
        <v>75.996375206616619</v>
      </c>
      <c r="Q155" s="331"/>
      <c r="R155" s="331"/>
    </row>
    <row r="156" spans="1:50" ht="24" customHeight="1" x14ac:dyDescent="0.25">
      <c r="A156" s="173" t="s">
        <v>11</v>
      </c>
      <c r="B156" s="8" t="s">
        <v>9</v>
      </c>
      <c r="C156" s="8" t="s">
        <v>12</v>
      </c>
      <c r="D156" s="8"/>
      <c r="E156" s="8"/>
      <c r="F156" s="8"/>
      <c r="G156" s="8"/>
      <c r="H156" s="8"/>
      <c r="I156" s="264">
        <f>I157</f>
        <v>248300</v>
      </c>
      <c r="J156" s="9">
        <f t="shared" ref="J156:N156" si="83">J157</f>
        <v>184326.39999999999</v>
      </c>
      <c r="K156" s="9">
        <f t="shared" ref="K156:K160" si="84">I156-J156</f>
        <v>63973.600000000006</v>
      </c>
      <c r="L156" s="9" t="e">
        <f t="shared" si="83"/>
        <v>#REF!</v>
      </c>
      <c r="M156" s="9">
        <f t="shared" si="83"/>
        <v>0</v>
      </c>
      <c r="N156" s="9">
        <f t="shared" si="83"/>
        <v>0</v>
      </c>
      <c r="O156" s="9">
        <f t="shared" ref="O156:O176" si="85">I156-J156-K156</f>
        <v>0</v>
      </c>
      <c r="P156" s="12">
        <f t="shared" ref="P156:P165" si="86">J156/I156*100</f>
        <v>74.235360451067251</v>
      </c>
      <c r="Q156" s="331"/>
      <c r="R156" s="331"/>
    </row>
    <row r="157" spans="1:50" ht="102.75" customHeight="1" x14ac:dyDescent="0.25">
      <c r="A157" s="190" t="s">
        <v>153</v>
      </c>
      <c r="B157" s="41" t="s">
        <v>9</v>
      </c>
      <c r="C157" s="41" t="s">
        <v>12</v>
      </c>
      <c r="D157" s="41" t="s">
        <v>14</v>
      </c>
      <c r="E157" s="41" t="s">
        <v>72</v>
      </c>
      <c r="F157" s="41"/>
      <c r="G157" s="41"/>
      <c r="H157" s="41"/>
      <c r="I157" s="17">
        <f>I158</f>
        <v>248300</v>
      </c>
      <c r="J157" s="55">
        <f>J158</f>
        <v>184326.39999999999</v>
      </c>
      <c r="K157" s="55">
        <f t="shared" si="84"/>
        <v>63973.600000000006</v>
      </c>
      <c r="L157" s="18" t="e">
        <f>L158</f>
        <v>#REF!</v>
      </c>
      <c r="M157" s="186"/>
      <c r="N157" s="187"/>
      <c r="O157" s="20">
        <f t="shared" si="85"/>
        <v>0</v>
      </c>
      <c r="P157" s="21">
        <f t="shared" si="86"/>
        <v>74.235360451067251</v>
      </c>
      <c r="Q157" s="331"/>
      <c r="R157" s="331"/>
      <c r="S157" s="15"/>
    </row>
    <row r="158" spans="1:50" ht="18.75" x14ac:dyDescent="0.25">
      <c r="A158" s="99" t="s">
        <v>113</v>
      </c>
      <c r="B158" s="22" t="s">
        <v>9</v>
      </c>
      <c r="C158" s="22" t="s">
        <v>12</v>
      </c>
      <c r="D158" s="22" t="s">
        <v>14</v>
      </c>
      <c r="E158" s="43" t="s">
        <v>72</v>
      </c>
      <c r="F158" s="22" t="s">
        <v>63</v>
      </c>
      <c r="G158" s="22" t="s">
        <v>114</v>
      </c>
      <c r="H158" s="22"/>
      <c r="I158" s="23">
        <v>248300</v>
      </c>
      <c r="J158" s="34">
        <v>184326.39999999999</v>
      </c>
      <c r="K158" s="34">
        <f t="shared" si="84"/>
        <v>63973.600000000006</v>
      </c>
      <c r="L158" s="24" t="e">
        <f>#REF!</f>
        <v>#REF!</v>
      </c>
      <c r="M158" s="184"/>
      <c r="N158" s="185"/>
      <c r="O158" s="25">
        <f t="shared" si="85"/>
        <v>0</v>
      </c>
      <c r="P158" s="26">
        <f t="shared" si="86"/>
        <v>74.235360451067251</v>
      </c>
      <c r="Q158" s="331"/>
      <c r="R158" s="331"/>
      <c r="Z158" s="15"/>
      <c r="AA158" s="15"/>
      <c r="AB158" s="15"/>
      <c r="AC158" s="15"/>
      <c r="AD158" s="15"/>
    </row>
    <row r="159" spans="1:50" ht="131.25" customHeight="1" x14ac:dyDescent="0.25">
      <c r="A159" s="190" t="s">
        <v>154</v>
      </c>
      <c r="B159" s="41" t="s">
        <v>9</v>
      </c>
      <c r="C159" s="41" t="s">
        <v>12</v>
      </c>
      <c r="D159" s="41" t="s">
        <v>14</v>
      </c>
      <c r="E159" s="41" t="s">
        <v>159</v>
      </c>
      <c r="F159" s="41"/>
      <c r="G159" s="41"/>
      <c r="H159" s="41"/>
      <c r="I159" s="17">
        <f>I160</f>
        <v>477400</v>
      </c>
      <c r="J159" s="55">
        <f>J160</f>
        <v>252185.04</v>
      </c>
      <c r="K159" s="55">
        <f t="shared" si="84"/>
        <v>225214.96</v>
      </c>
      <c r="L159" s="18" t="e">
        <f>L160</f>
        <v>#REF!</v>
      </c>
      <c r="M159" s="186"/>
      <c r="N159" s="187"/>
      <c r="O159" s="20">
        <f t="shared" si="85"/>
        <v>0</v>
      </c>
      <c r="P159" s="21">
        <f t="shared" si="86"/>
        <v>52.824683703393383</v>
      </c>
      <c r="Q159" s="331"/>
      <c r="R159" s="331"/>
      <c r="S159" s="15"/>
    </row>
    <row r="160" spans="1:50" ht="18.75" x14ac:dyDescent="0.25">
      <c r="A160" s="99" t="s">
        <v>113</v>
      </c>
      <c r="B160" s="22" t="s">
        <v>9</v>
      </c>
      <c r="C160" s="22" t="s">
        <v>12</v>
      </c>
      <c r="D160" s="22" t="s">
        <v>14</v>
      </c>
      <c r="E160" s="43" t="s">
        <v>159</v>
      </c>
      <c r="F160" s="22" t="s">
        <v>63</v>
      </c>
      <c r="G160" s="22" t="s">
        <v>114</v>
      </c>
      <c r="H160" s="22"/>
      <c r="I160" s="23">
        <v>477400</v>
      </c>
      <c r="J160" s="34">
        <v>252185.04</v>
      </c>
      <c r="K160" s="34">
        <f t="shared" si="84"/>
        <v>225214.96</v>
      </c>
      <c r="L160" s="24" t="e">
        <f>#REF!</f>
        <v>#REF!</v>
      </c>
      <c r="M160" s="184"/>
      <c r="N160" s="185"/>
      <c r="O160" s="25">
        <f t="shared" si="85"/>
        <v>0</v>
      </c>
      <c r="P160" s="26">
        <f t="shared" si="86"/>
        <v>52.824683703393383</v>
      </c>
      <c r="Q160" s="331"/>
      <c r="R160" s="331"/>
      <c r="Z160" s="15"/>
      <c r="AA160" s="15"/>
      <c r="AB160" s="15"/>
      <c r="AC160" s="15"/>
      <c r="AD160" s="15"/>
    </row>
    <row r="161" spans="1:50" ht="117.75" customHeight="1" x14ac:dyDescent="0.25">
      <c r="A161" s="190" t="s">
        <v>154</v>
      </c>
      <c r="B161" s="41" t="s">
        <v>9</v>
      </c>
      <c r="C161" s="41" t="s">
        <v>12</v>
      </c>
      <c r="D161" s="41" t="s">
        <v>14</v>
      </c>
      <c r="E161" s="41" t="s">
        <v>160</v>
      </c>
      <c r="F161" s="41"/>
      <c r="G161" s="41"/>
      <c r="H161" s="41"/>
      <c r="I161" s="17">
        <f>I162</f>
        <v>4563328.57</v>
      </c>
      <c r="J161" s="55">
        <f>J162</f>
        <v>2567365.83</v>
      </c>
      <c r="K161" s="55">
        <f>K162</f>
        <v>996723.31000000017</v>
      </c>
      <c r="L161" s="18" t="e">
        <f>L162</f>
        <v>#REF!</v>
      </c>
      <c r="M161" s="186"/>
      <c r="N161" s="187"/>
      <c r="O161" s="20">
        <f t="shared" si="85"/>
        <v>999239.43</v>
      </c>
      <c r="P161" s="21">
        <f t="shared" si="86"/>
        <v>56.260814679842355</v>
      </c>
      <c r="Q161" s="331"/>
      <c r="R161" s="331"/>
      <c r="S161" s="15"/>
    </row>
    <row r="162" spans="1:50" ht="18.75" x14ac:dyDescent="0.25">
      <c r="A162" s="99" t="s">
        <v>113</v>
      </c>
      <c r="B162" s="22" t="s">
        <v>9</v>
      </c>
      <c r="C162" s="22" t="s">
        <v>12</v>
      </c>
      <c r="D162" s="22" t="s">
        <v>14</v>
      </c>
      <c r="E162" s="43" t="s">
        <v>160</v>
      </c>
      <c r="F162" s="22" t="s">
        <v>22</v>
      </c>
      <c r="G162" s="22" t="s">
        <v>114</v>
      </c>
      <c r="H162" s="22"/>
      <c r="I162" s="23">
        <v>4563328.57</v>
      </c>
      <c r="J162" s="34">
        <v>2567365.83</v>
      </c>
      <c r="K162" s="34">
        <f>I162-J162-999239.43</f>
        <v>996723.31000000017</v>
      </c>
      <c r="L162" s="24" t="e">
        <f>#REF!</f>
        <v>#REF!</v>
      </c>
      <c r="M162" s="184"/>
      <c r="N162" s="185"/>
      <c r="O162" s="25">
        <f t="shared" si="85"/>
        <v>999239.43</v>
      </c>
      <c r="P162" s="26">
        <f t="shared" si="86"/>
        <v>56.260814679842355</v>
      </c>
      <c r="Q162" s="331"/>
      <c r="R162" s="331"/>
      <c r="Z162" s="15"/>
      <c r="AA162" s="15"/>
      <c r="AB162" s="15"/>
      <c r="AC162" s="15"/>
      <c r="AD162" s="15"/>
    </row>
    <row r="163" spans="1:50" ht="56.25" hidden="1" x14ac:dyDescent="0.25">
      <c r="A163" s="199" t="s">
        <v>143</v>
      </c>
      <c r="B163" s="104" t="s">
        <v>9</v>
      </c>
      <c r="C163" s="104" t="s">
        <v>12</v>
      </c>
      <c r="D163" s="104" t="s">
        <v>14</v>
      </c>
      <c r="E163" s="104" t="s">
        <v>138</v>
      </c>
      <c r="F163" s="104"/>
      <c r="G163" s="104"/>
      <c r="H163" s="104"/>
      <c r="I163" s="106">
        <f>I165+I164+I166</f>
        <v>0</v>
      </c>
      <c r="J163" s="106">
        <f>J165+J164+J166</f>
        <v>0</v>
      </c>
      <c r="K163" s="106">
        <f t="shared" ref="K163" si="87">K165</f>
        <v>0</v>
      </c>
      <c r="L163" s="265"/>
      <c r="M163" s="195"/>
      <c r="N163" s="196"/>
      <c r="O163" s="20">
        <f>I163-J163-K163</f>
        <v>0</v>
      </c>
      <c r="P163" s="21" t="e">
        <f t="shared" si="86"/>
        <v>#DIV/0!</v>
      </c>
      <c r="Q163" s="331"/>
      <c r="R163" s="331"/>
      <c r="Z163" s="15"/>
      <c r="AA163" s="15"/>
      <c r="AB163" s="15"/>
      <c r="AC163" s="15"/>
      <c r="AD163" s="15"/>
    </row>
    <row r="164" spans="1:50" ht="18.75" hidden="1" x14ac:dyDescent="0.25">
      <c r="A164" s="200" t="s">
        <v>43</v>
      </c>
      <c r="B164" s="112" t="s">
        <v>9</v>
      </c>
      <c r="C164" s="112" t="s">
        <v>12</v>
      </c>
      <c r="D164" s="112" t="s">
        <v>14</v>
      </c>
      <c r="E164" s="113" t="s">
        <v>138</v>
      </c>
      <c r="F164" s="112" t="s">
        <v>63</v>
      </c>
      <c r="G164" s="112" t="s">
        <v>44</v>
      </c>
      <c r="H164" s="129"/>
      <c r="I164" s="118">
        <v>0</v>
      </c>
      <c r="J164" s="158">
        <v>0</v>
      </c>
      <c r="K164" s="116"/>
      <c r="L164" s="136"/>
      <c r="M164" s="182"/>
      <c r="N164" s="183"/>
      <c r="O164" s="119"/>
      <c r="P164" s="120"/>
      <c r="Q164" s="331"/>
      <c r="R164" s="331"/>
      <c r="Z164" s="15"/>
      <c r="AA164" s="15"/>
      <c r="AB164" s="15"/>
      <c r="AC164" s="15"/>
      <c r="AD164" s="15"/>
    </row>
    <row r="165" spans="1:50" ht="25.5" hidden="1" customHeight="1" x14ac:dyDescent="0.25">
      <c r="A165" s="99" t="s">
        <v>47</v>
      </c>
      <c r="B165" s="112" t="s">
        <v>9</v>
      </c>
      <c r="C165" s="112" t="s">
        <v>12</v>
      </c>
      <c r="D165" s="112" t="s">
        <v>14</v>
      </c>
      <c r="E165" s="113" t="s">
        <v>138</v>
      </c>
      <c r="F165" s="112" t="s">
        <v>63</v>
      </c>
      <c r="G165" s="112" t="s">
        <v>48</v>
      </c>
      <c r="H165" s="112"/>
      <c r="I165" s="118">
        <v>0</v>
      </c>
      <c r="J165" s="158">
        <v>0</v>
      </c>
      <c r="K165" s="118">
        <f t="shared" ref="K165:K177" si="88">I165-J165</f>
        <v>0</v>
      </c>
      <c r="L165" s="266"/>
      <c r="M165" s="188"/>
      <c r="N165" s="189"/>
      <c r="O165" s="119">
        <f t="shared" ref="O165" si="89">I165-J165-K165</f>
        <v>0</v>
      </c>
      <c r="P165" s="120" t="e">
        <f t="shared" si="86"/>
        <v>#DIV/0!</v>
      </c>
      <c r="Q165" s="331"/>
      <c r="R165" s="331"/>
      <c r="Z165" s="15"/>
      <c r="AA165" s="15"/>
      <c r="AB165" s="15"/>
      <c r="AC165" s="15"/>
      <c r="AD165" s="15"/>
    </row>
    <row r="166" spans="1:50" ht="25.5" hidden="1" customHeight="1" x14ac:dyDescent="0.25">
      <c r="A166" s="175" t="s">
        <v>109</v>
      </c>
      <c r="B166" s="112" t="s">
        <v>9</v>
      </c>
      <c r="C166" s="112" t="s">
        <v>12</v>
      </c>
      <c r="D166" s="112" t="s">
        <v>14</v>
      </c>
      <c r="E166" s="113" t="s">
        <v>138</v>
      </c>
      <c r="F166" s="112" t="s">
        <v>63</v>
      </c>
      <c r="G166" s="112" t="s">
        <v>104</v>
      </c>
      <c r="H166" s="112"/>
      <c r="I166" s="118">
        <v>0</v>
      </c>
      <c r="J166" s="158">
        <v>0</v>
      </c>
      <c r="K166" s="118"/>
      <c r="L166" s="266"/>
      <c r="M166" s="188"/>
      <c r="N166" s="189"/>
      <c r="O166" s="119"/>
      <c r="P166" s="120"/>
      <c r="Q166" s="331"/>
      <c r="R166" s="331"/>
      <c r="Z166" s="15"/>
      <c r="AA166" s="15"/>
      <c r="AB166" s="15"/>
      <c r="AC166" s="15"/>
      <c r="AD166" s="15"/>
    </row>
    <row r="167" spans="1:50" s="47" customFormat="1" ht="18.75" x14ac:dyDescent="0.3">
      <c r="A167" s="58" t="s">
        <v>75</v>
      </c>
      <c r="B167" s="59" t="s">
        <v>9</v>
      </c>
      <c r="C167" s="59" t="s">
        <v>76</v>
      </c>
      <c r="D167" s="59"/>
      <c r="E167" s="59"/>
      <c r="F167" s="59"/>
      <c r="G167" s="59"/>
      <c r="H167" s="59"/>
      <c r="I167" s="61">
        <f t="shared" ref="I167:J171" si="90">I168</f>
        <v>5094884</v>
      </c>
      <c r="J167" s="61">
        <f t="shared" si="90"/>
        <v>3961648.82</v>
      </c>
      <c r="K167" s="61">
        <f t="shared" si="88"/>
        <v>1133235.1800000002</v>
      </c>
      <c r="L167" s="61" t="e">
        <f>L168+#REF!</f>
        <v>#REF!</v>
      </c>
      <c r="M167" s="61" t="e">
        <f>M168+#REF!</f>
        <v>#REF!</v>
      </c>
      <c r="N167" s="61" t="e">
        <f>N168+#REF!</f>
        <v>#REF!</v>
      </c>
      <c r="O167" s="61">
        <f t="shared" si="85"/>
        <v>0</v>
      </c>
      <c r="P167" s="61">
        <f t="shared" ref="P167:P168" si="91">J167*100/I167</f>
        <v>77.757389962165973</v>
      </c>
      <c r="Q167" s="331"/>
      <c r="R167" s="331"/>
    </row>
    <row r="168" spans="1:50" ht="18.75" x14ac:dyDescent="0.3">
      <c r="A168" s="62" t="s">
        <v>77</v>
      </c>
      <c r="B168" s="63" t="s">
        <v>9</v>
      </c>
      <c r="C168" s="63" t="s">
        <v>76</v>
      </c>
      <c r="D168" s="63" t="s">
        <v>78</v>
      </c>
      <c r="E168" s="63"/>
      <c r="F168" s="63"/>
      <c r="G168" s="63"/>
      <c r="H168" s="63"/>
      <c r="I168" s="267">
        <f t="shared" si="90"/>
        <v>5094884</v>
      </c>
      <c r="J168" s="267">
        <f t="shared" si="90"/>
        <v>3961648.82</v>
      </c>
      <c r="K168" s="65">
        <f t="shared" si="88"/>
        <v>1133235.1800000002</v>
      </c>
      <c r="L168" s="65" t="e">
        <f t="shared" ref="L168:N168" si="92">L169</f>
        <v>#REF!</v>
      </c>
      <c r="M168" s="65">
        <f t="shared" si="92"/>
        <v>0</v>
      </c>
      <c r="N168" s="65">
        <f t="shared" si="92"/>
        <v>0</v>
      </c>
      <c r="O168" s="65">
        <f t="shared" si="85"/>
        <v>0</v>
      </c>
      <c r="P168" s="65">
        <f t="shared" si="91"/>
        <v>77.757389962165973</v>
      </c>
      <c r="Q168" s="331"/>
      <c r="R168" s="331"/>
    </row>
    <row r="169" spans="1:50" ht="135.75" customHeight="1" x14ac:dyDescent="0.25">
      <c r="A169" s="86" t="s">
        <v>79</v>
      </c>
      <c r="B169" s="41" t="s">
        <v>9</v>
      </c>
      <c r="C169" s="41" t="s">
        <v>76</v>
      </c>
      <c r="D169" s="41" t="s">
        <v>78</v>
      </c>
      <c r="E169" s="66">
        <v>7110175110</v>
      </c>
      <c r="F169" s="41"/>
      <c r="G169" s="41"/>
      <c r="H169" s="41"/>
      <c r="I169" s="17">
        <f t="shared" si="90"/>
        <v>5094884</v>
      </c>
      <c r="J169" s="17">
        <f t="shared" si="90"/>
        <v>3961648.82</v>
      </c>
      <c r="K169" s="17">
        <f t="shared" si="88"/>
        <v>1133235.1800000002</v>
      </c>
      <c r="L169" s="18" t="e">
        <f>L170</f>
        <v>#REF!</v>
      </c>
      <c r="M169" s="186"/>
      <c r="N169" s="187"/>
      <c r="O169" s="20">
        <f t="shared" si="85"/>
        <v>0</v>
      </c>
      <c r="P169" s="21">
        <f>J169/I169*100</f>
        <v>77.757389962165973</v>
      </c>
      <c r="Q169" s="331"/>
      <c r="R169" s="331"/>
    </row>
    <row r="170" spans="1:50" s="46" customFormat="1" ht="37.5" x14ac:dyDescent="0.25">
      <c r="A170" s="175" t="s">
        <v>93</v>
      </c>
      <c r="B170" s="22" t="s">
        <v>9</v>
      </c>
      <c r="C170" s="22" t="s">
        <v>76</v>
      </c>
      <c r="D170" s="22" t="s">
        <v>78</v>
      </c>
      <c r="E170" s="67">
        <v>7110175100</v>
      </c>
      <c r="F170" s="22" t="s">
        <v>63</v>
      </c>
      <c r="G170" s="22" t="s">
        <v>94</v>
      </c>
      <c r="H170" s="22"/>
      <c r="I170" s="23">
        <f>5202484-107600</f>
        <v>5094884</v>
      </c>
      <c r="J170" s="23">
        <v>3961648.82</v>
      </c>
      <c r="K170" s="23">
        <f t="shared" si="88"/>
        <v>1133235.1800000002</v>
      </c>
      <c r="L170" s="24" t="e">
        <f>#REF!</f>
        <v>#REF!</v>
      </c>
      <c r="M170" s="182"/>
      <c r="N170" s="183"/>
      <c r="O170" s="25">
        <f t="shared" si="85"/>
        <v>0</v>
      </c>
      <c r="P170" s="26">
        <f t="shared" ref="P170" si="93">J170/I170*100</f>
        <v>77.757389962165973</v>
      </c>
      <c r="Q170" s="331"/>
      <c r="R170" s="331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62.25" hidden="1" customHeight="1" x14ac:dyDescent="0.25">
      <c r="A171" s="40" t="s">
        <v>139</v>
      </c>
      <c r="B171" s="41" t="s">
        <v>9</v>
      </c>
      <c r="C171" s="41" t="s">
        <v>12</v>
      </c>
      <c r="D171" s="41" t="s">
        <v>14</v>
      </c>
      <c r="E171" s="66" t="s">
        <v>135</v>
      </c>
      <c r="F171" s="41"/>
      <c r="G171" s="41"/>
      <c r="H171" s="41"/>
      <c r="I171" s="17">
        <f t="shared" si="90"/>
        <v>0</v>
      </c>
      <c r="J171" s="17">
        <f t="shared" si="90"/>
        <v>0</v>
      </c>
      <c r="K171" s="17">
        <f t="shared" si="88"/>
        <v>0</v>
      </c>
      <c r="L171" s="18" t="e">
        <f>L172</f>
        <v>#REF!</v>
      </c>
      <c r="M171" s="186"/>
      <c r="N171" s="187"/>
      <c r="O171" s="20">
        <f t="shared" si="85"/>
        <v>0</v>
      </c>
      <c r="P171" s="21" t="e">
        <f>J171/I171*100</f>
        <v>#DIV/0!</v>
      </c>
      <c r="Q171" s="331"/>
      <c r="R171" s="331"/>
    </row>
    <row r="172" spans="1:50" s="46" customFormat="1" ht="18.75" hidden="1" x14ac:dyDescent="0.25">
      <c r="A172" s="99" t="s">
        <v>47</v>
      </c>
      <c r="B172" s="22" t="s">
        <v>9</v>
      </c>
      <c r="C172" s="16" t="s">
        <v>12</v>
      </c>
      <c r="D172" s="16" t="s">
        <v>14</v>
      </c>
      <c r="E172" s="134" t="s">
        <v>135</v>
      </c>
      <c r="F172" s="22" t="s">
        <v>63</v>
      </c>
      <c r="G172" s="22" t="s">
        <v>48</v>
      </c>
      <c r="H172" s="22"/>
      <c r="I172" s="35">
        <v>0</v>
      </c>
      <c r="J172" s="35">
        <v>0</v>
      </c>
      <c r="K172" s="23">
        <f t="shared" si="88"/>
        <v>0</v>
      </c>
      <c r="L172" s="24" t="e">
        <f>#REF!</f>
        <v>#REF!</v>
      </c>
      <c r="M172" s="182"/>
      <c r="N172" s="183"/>
      <c r="O172" s="25">
        <f t="shared" si="85"/>
        <v>0</v>
      </c>
      <c r="P172" s="26" t="e">
        <f t="shared" ref="P172" si="94">J172/I172*100</f>
        <v>#DIV/0!</v>
      </c>
      <c r="Q172" s="331"/>
      <c r="R172" s="331"/>
      <c r="S172" s="1"/>
      <c r="T172" s="1"/>
      <c r="U172" s="1"/>
      <c r="V172" s="1"/>
      <c r="W172" s="1"/>
      <c r="X172" s="1"/>
      <c r="Y172" s="1"/>
      <c r="Z172" s="68"/>
      <c r="AA172" s="68"/>
      <c r="AB172" s="68"/>
      <c r="AC172" s="68"/>
      <c r="AD172" s="68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62.25" hidden="1" customHeight="1" x14ac:dyDescent="0.25">
      <c r="A173" s="199" t="s">
        <v>148</v>
      </c>
      <c r="B173" s="41" t="s">
        <v>9</v>
      </c>
      <c r="C173" s="41" t="s">
        <v>12</v>
      </c>
      <c r="D173" s="41" t="s">
        <v>85</v>
      </c>
      <c r="E173" s="66">
        <v>7010470790</v>
      </c>
      <c r="F173" s="41"/>
      <c r="G173" s="41"/>
      <c r="H173" s="41"/>
      <c r="I173" s="17">
        <f>I176+I174+I175+I177</f>
        <v>0</v>
      </c>
      <c r="J173" s="17">
        <f>J176+J174+J175+J177</f>
        <v>0</v>
      </c>
      <c r="K173" s="17">
        <f t="shared" si="88"/>
        <v>0</v>
      </c>
      <c r="L173" s="18" t="e">
        <f>L176</f>
        <v>#REF!</v>
      </c>
      <c r="M173" s="186"/>
      <c r="N173" s="187"/>
      <c r="O173" s="20">
        <f t="shared" si="85"/>
        <v>0</v>
      </c>
      <c r="P173" s="21" t="e">
        <f>J173/I173*100</f>
        <v>#DIV/0!</v>
      </c>
      <c r="Q173" s="331"/>
      <c r="R173" s="331"/>
    </row>
    <row r="174" spans="1:50" ht="27" hidden="1" customHeight="1" x14ac:dyDescent="0.25">
      <c r="A174" s="200" t="s">
        <v>56</v>
      </c>
      <c r="B174" s="22" t="s">
        <v>9</v>
      </c>
      <c r="C174" s="22" t="s">
        <v>12</v>
      </c>
      <c r="D174" s="22" t="s">
        <v>85</v>
      </c>
      <c r="E174" s="67">
        <v>7010470790</v>
      </c>
      <c r="F174" s="22" t="s">
        <v>63</v>
      </c>
      <c r="G174" s="22" t="s">
        <v>38</v>
      </c>
      <c r="H174" s="22"/>
      <c r="I174" s="23"/>
      <c r="J174" s="23"/>
      <c r="K174" s="23">
        <f>I174-J174</f>
        <v>0</v>
      </c>
      <c r="L174" s="24"/>
      <c r="M174" s="182"/>
      <c r="N174" s="183"/>
      <c r="O174" s="25"/>
      <c r="P174" s="26"/>
      <c r="Q174" s="331"/>
      <c r="R174" s="331"/>
    </row>
    <row r="175" spans="1:50" ht="20.25" hidden="1" customHeight="1" x14ac:dyDescent="0.25">
      <c r="A175" s="200" t="s">
        <v>43</v>
      </c>
      <c r="B175" s="22" t="s">
        <v>9</v>
      </c>
      <c r="C175" s="22" t="s">
        <v>12</v>
      </c>
      <c r="D175" s="22" t="s">
        <v>85</v>
      </c>
      <c r="E175" s="67">
        <v>7010470790</v>
      </c>
      <c r="F175" s="22" t="s">
        <v>63</v>
      </c>
      <c r="G175" s="22" t="s">
        <v>44</v>
      </c>
      <c r="H175" s="22"/>
      <c r="I175" s="23"/>
      <c r="J175" s="23"/>
      <c r="K175" s="23">
        <f>I175-J175</f>
        <v>0</v>
      </c>
      <c r="L175" s="24"/>
      <c r="M175" s="182"/>
      <c r="N175" s="183"/>
      <c r="O175" s="25"/>
      <c r="P175" s="26"/>
      <c r="Q175" s="331"/>
      <c r="R175" s="331"/>
    </row>
    <row r="176" spans="1:50" s="2" customFormat="1" ht="24" hidden="1" customHeight="1" x14ac:dyDescent="0.25">
      <c r="A176" s="201" t="s">
        <v>47</v>
      </c>
      <c r="B176" s="112" t="s">
        <v>9</v>
      </c>
      <c r="C176" s="112" t="s">
        <v>12</v>
      </c>
      <c r="D176" s="112" t="s">
        <v>85</v>
      </c>
      <c r="E176" s="138">
        <v>7010470790</v>
      </c>
      <c r="F176" s="112" t="s">
        <v>63</v>
      </c>
      <c r="G176" s="112" t="s">
        <v>48</v>
      </c>
      <c r="H176" s="112"/>
      <c r="I176" s="116"/>
      <c r="J176" s="116"/>
      <c r="K176" s="116">
        <f t="shared" si="88"/>
        <v>0</v>
      </c>
      <c r="L176" s="136" t="e">
        <f>#REF!</f>
        <v>#REF!</v>
      </c>
      <c r="M176" s="182"/>
      <c r="N176" s="183"/>
      <c r="O176" s="119">
        <f t="shared" si="85"/>
        <v>0</v>
      </c>
      <c r="P176" s="120" t="e">
        <f t="shared" ref="P176:P178" si="95">J176/I176*100</f>
        <v>#DIV/0!</v>
      </c>
      <c r="Q176" s="332"/>
      <c r="R176" s="332"/>
      <c r="S176" s="1"/>
      <c r="T176" s="1"/>
      <c r="U176" s="1"/>
      <c r="V176" s="1"/>
      <c r="W176" s="1"/>
      <c r="X176" s="1"/>
      <c r="Y176" s="1"/>
      <c r="Z176" s="68"/>
      <c r="AA176" s="68"/>
      <c r="AB176" s="68"/>
      <c r="AC176" s="68"/>
      <c r="AD176" s="6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24" hidden="1" customHeight="1" x14ac:dyDescent="0.25">
      <c r="A177" s="175" t="s">
        <v>109</v>
      </c>
      <c r="B177" s="112" t="s">
        <v>9</v>
      </c>
      <c r="C177" s="112" t="s">
        <v>12</v>
      </c>
      <c r="D177" s="112" t="s">
        <v>85</v>
      </c>
      <c r="E177" s="138">
        <v>7010470790</v>
      </c>
      <c r="F177" s="112" t="s">
        <v>63</v>
      </c>
      <c r="G177" s="112" t="s">
        <v>104</v>
      </c>
      <c r="H177" s="22"/>
      <c r="I177" s="23"/>
      <c r="J177" s="23"/>
      <c r="K177" s="116">
        <f t="shared" si="88"/>
        <v>0</v>
      </c>
      <c r="L177" s="137"/>
      <c r="M177" s="306"/>
      <c r="N177" s="305"/>
      <c r="O177" s="119">
        <f>I177-J177-K177</f>
        <v>0</v>
      </c>
      <c r="P177" s="120" t="e">
        <f t="shared" si="95"/>
        <v>#DIV/0!</v>
      </c>
      <c r="Q177" s="332"/>
      <c r="R177" s="332"/>
      <c r="S177" s="1"/>
      <c r="T177" s="1"/>
      <c r="U177" s="1"/>
      <c r="V177" s="1"/>
      <c r="W177" s="1"/>
      <c r="X177" s="1"/>
      <c r="Y177" s="1"/>
      <c r="Z177" s="68"/>
      <c r="AA177" s="68"/>
      <c r="AB177" s="68"/>
      <c r="AC177" s="68"/>
      <c r="AD177" s="6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hidden="1" customHeight="1" x14ac:dyDescent="0.25">
      <c r="A178" s="199" t="s">
        <v>145</v>
      </c>
      <c r="B178" s="104" t="s">
        <v>9</v>
      </c>
      <c r="C178" s="104" t="s">
        <v>12</v>
      </c>
      <c r="D178" s="104" t="s">
        <v>12</v>
      </c>
      <c r="E178" s="104" t="s">
        <v>149</v>
      </c>
      <c r="F178" s="104"/>
      <c r="G178" s="104"/>
      <c r="H178" s="104"/>
      <c r="I178" s="106">
        <f>I179+I180</f>
        <v>0</v>
      </c>
      <c r="J178" s="106">
        <f>J180+J179</f>
        <v>0</v>
      </c>
      <c r="K178" s="106">
        <f>K180+K179</f>
        <v>0</v>
      </c>
      <c r="L178" s="115"/>
      <c r="M178" s="195"/>
      <c r="N178" s="196"/>
      <c r="O178" s="20">
        <f>I178-J178-K178</f>
        <v>0</v>
      </c>
      <c r="P178" s="21" t="e">
        <f t="shared" si="95"/>
        <v>#DIV/0!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hidden="1" customHeight="1" x14ac:dyDescent="0.25">
      <c r="A179" s="194" t="s">
        <v>27</v>
      </c>
      <c r="B179" s="112" t="s">
        <v>9</v>
      </c>
      <c r="C179" s="112" t="s">
        <v>12</v>
      </c>
      <c r="D179" s="112" t="s">
        <v>12</v>
      </c>
      <c r="E179" s="112" t="s">
        <v>149</v>
      </c>
      <c r="F179" s="112" t="s">
        <v>63</v>
      </c>
      <c r="G179" s="112" t="s">
        <v>28</v>
      </c>
      <c r="H179" s="129"/>
      <c r="I179" s="116"/>
      <c r="J179" s="117"/>
      <c r="K179" s="130">
        <f>I179-J179</f>
        <v>0</v>
      </c>
      <c r="L179" s="131"/>
      <c r="M179" s="184"/>
      <c r="N179" s="185"/>
      <c r="O179" s="132"/>
      <c r="P179" s="133"/>
      <c r="Q179" s="325"/>
      <c r="R179" s="326"/>
    </row>
    <row r="180" spans="1:50" s="2" customFormat="1" ht="27.75" hidden="1" customHeight="1" x14ac:dyDescent="0.25">
      <c r="A180" s="175" t="s">
        <v>31</v>
      </c>
      <c r="B180" s="112" t="s">
        <v>9</v>
      </c>
      <c r="C180" s="112" t="s">
        <v>12</v>
      </c>
      <c r="D180" s="112" t="s">
        <v>12</v>
      </c>
      <c r="E180" s="112" t="s">
        <v>149</v>
      </c>
      <c r="F180" s="112" t="s">
        <v>63</v>
      </c>
      <c r="G180" s="112" t="s">
        <v>32</v>
      </c>
      <c r="H180" s="112"/>
      <c r="I180" s="116"/>
      <c r="J180" s="117"/>
      <c r="K180" s="116">
        <f>I180-J180</f>
        <v>0</v>
      </c>
      <c r="L180" s="131"/>
      <c r="M180" s="182"/>
      <c r="N180" s="183"/>
      <c r="O180" s="119">
        <f t="shared" ref="O180" si="96">I180-J180-K180</f>
        <v>0</v>
      </c>
      <c r="P180" s="120" t="e">
        <f t="shared" ref="P180:P186" si="97">J180/I180*100</f>
        <v>#DIV/0!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s="2" customFormat="1" ht="60" customHeight="1" x14ac:dyDescent="0.25">
      <c r="A181" s="199" t="s">
        <v>156</v>
      </c>
      <c r="B181" s="104" t="s">
        <v>9</v>
      </c>
      <c r="C181" s="104" t="s">
        <v>12</v>
      </c>
      <c r="D181" s="104" t="s">
        <v>14</v>
      </c>
      <c r="E181" s="104" t="s">
        <v>157</v>
      </c>
      <c r="F181" s="104"/>
      <c r="G181" s="104"/>
      <c r="H181" s="104"/>
      <c r="I181" s="106">
        <f>I182+I183</f>
        <v>6358968</v>
      </c>
      <c r="J181" s="106">
        <f>J183+J182</f>
        <v>5253122.3499999996</v>
      </c>
      <c r="K181" s="106">
        <f>K183+K182</f>
        <v>1105845.6499999999</v>
      </c>
      <c r="L181" s="115"/>
      <c r="M181" s="195"/>
      <c r="N181" s="196"/>
      <c r="O181" s="20">
        <f>I181-J181-K181</f>
        <v>0</v>
      </c>
      <c r="P181" s="21">
        <f t="shared" si="97"/>
        <v>82.609667952409879</v>
      </c>
      <c r="Q181" s="321"/>
      <c r="R181" s="32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33" customHeight="1" x14ac:dyDescent="0.25">
      <c r="A182" s="194" t="s">
        <v>27</v>
      </c>
      <c r="B182" s="112" t="s">
        <v>9</v>
      </c>
      <c r="C182" s="112" t="s">
        <v>12</v>
      </c>
      <c r="D182" s="112" t="s">
        <v>14</v>
      </c>
      <c r="E182" s="112" t="s">
        <v>157</v>
      </c>
      <c r="F182" s="112" t="s">
        <v>63</v>
      </c>
      <c r="G182" s="112" t="s">
        <v>28</v>
      </c>
      <c r="H182" s="129"/>
      <c r="I182" s="116">
        <v>4884000</v>
      </c>
      <c r="J182" s="117">
        <v>4121938.73</v>
      </c>
      <c r="K182" s="116">
        <f>I182-J182</f>
        <v>762061.27</v>
      </c>
      <c r="L182" s="131"/>
      <c r="M182" s="184"/>
      <c r="N182" s="185"/>
      <c r="O182" s="119">
        <f t="shared" ref="O182:O183" si="98">I182-J182-K182</f>
        <v>0</v>
      </c>
      <c r="P182" s="120">
        <f t="shared" si="97"/>
        <v>84.396779893529896</v>
      </c>
      <c r="Q182" s="325"/>
      <c r="R182" s="326"/>
    </row>
    <row r="183" spans="1:50" s="2" customFormat="1" ht="27.75" customHeight="1" x14ac:dyDescent="0.25">
      <c r="A183" s="175" t="s">
        <v>31</v>
      </c>
      <c r="B183" s="112" t="s">
        <v>9</v>
      </c>
      <c r="C183" s="112" t="s">
        <v>12</v>
      </c>
      <c r="D183" s="112" t="s">
        <v>14</v>
      </c>
      <c r="E183" s="112" t="s">
        <v>157</v>
      </c>
      <c r="F183" s="112" t="s">
        <v>63</v>
      </c>
      <c r="G183" s="112" t="s">
        <v>32</v>
      </c>
      <c r="H183" s="112"/>
      <c r="I183" s="116">
        <v>1474968</v>
      </c>
      <c r="J183" s="117">
        <v>1131183.6200000001</v>
      </c>
      <c r="K183" s="116">
        <f>I183-J183</f>
        <v>343784.37999999989</v>
      </c>
      <c r="L183" s="131"/>
      <c r="M183" s="182"/>
      <c r="N183" s="183"/>
      <c r="O183" s="119">
        <f t="shared" si="98"/>
        <v>0</v>
      </c>
      <c r="P183" s="120">
        <f t="shared" si="97"/>
        <v>76.692078743403258</v>
      </c>
      <c r="Q183" s="323"/>
      <c r="R183" s="32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" customFormat="1" ht="60" customHeight="1" x14ac:dyDescent="0.25">
      <c r="A184" s="199" t="s">
        <v>156</v>
      </c>
      <c r="B184" s="104" t="s">
        <v>9</v>
      </c>
      <c r="C184" s="104" t="s">
        <v>12</v>
      </c>
      <c r="D184" s="104" t="s">
        <v>14</v>
      </c>
      <c r="E184" s="104" t="s">
        <v>158</v>
      </c>
      <c r="F184" s="104"/>
      <c r="G184" s="104"/>
      <c r="H184" s="104"/>
      <c r="I184" s="106">
        <f>I185+I186</f>
        <v>289044</v>
      </c>
      <c r="J184" s="106">
        <f>J186+J185</f>
        <v>237882.42</v>
      </c>
      <c r="K184" s="106">
        <f>K186+K185</f>
        <v>51161.579999999987</v>
      </c>
      <c r="L184" s="115"/>
      <c r="M184" s="195"/>
      <c r="N184" s="196"/>
      <c r="O184" s="20">
        <f>I184-J184-K184</f>
        <v>0</v>
      </c>
      <c r="P184" s="21">
        <f t="shared" si="97"/>
        <v>82.299725993274393</v>
      </c>
      <c r="Q184" s="321"/>
      <c r="R184" s="32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33" customHeight="1" x14ac:dyDescent="0.25">
      <c r="A185" s="194" t="s">
        <v>27</v>
      </c>
      <c r="B185" s="112" t="s">
        <v>9</v>
      </c>
      <c r="C185" s="112" t="s">
        <v>12</v>
      </c>
      <c r="D185" s="112" t="s">
        <v>14</v>
      </c>
      <c r="E185" s="112" t="s">
        <v>158</v>
      </c>
      <c r="F185" s="112" t="s">
        <v>63</v>
      </c>
      <c r="G185" s="112" t="s">
        <v>28</v>
      </c>
      <c r="H185" s="129"/>
      <c r="I185" s="116">
        <v>222000</v>
      </c>
      <c r="J185" s="117">
        <v>186794.73</v>
      </c>
      <c r="K185" s="116">
        <f>I185-J185</f>
        <v>35205.26999999999</v>
      </c>
      <c r="L185" s="131"/>
      <c r="M185" s="184"/>
      <c r="N185" s="185"/>
      <c r="O185" s="119">
        <f t="shared" ref="O185:O186" si="99">I185-J185-K185</f>
        <v>0</v>
      </c>
      <c r="P185" s="120">
        <f t="shared" si="97"/>
        <v>84.141770270270271</v>
      </c>
      <c r="Q185" s="325"/>
      <c r="R185" s="326"/>
    </row>
    <row r="186" spans="1:50" s="2" customFormat="1" ht="27.75" customHeight="1" x14ac:dyDescent="0.25">
      <c r="A186" s="291" t="s">
        <v>31</v>
      </c>
      <c r="B186" s="112" t="s">
        <v>9</v>
      </c>
      <c r="C186" s="112" t="s">
        <v>12</v>
      </c>
      <c r="D186" s="112" t="s">
        <v>14</v>
      </c>
      <c r="E186" s="112" t="s">
        <v>158</v>
      </c>
      <c r="F186" s="112" t="s">
        <v>63</v>
      </c>
      <c r="G186" s="112" t="s">
        <v>32</v>
      </c>
      <c r="H186" s="112"/>
      <c r="I186" s="116">
        <v>67044</v>
      </c>
      <c r="J186" s="117">
        <v>51087.69</v>
      </c>
      <c r="K186" s="116">
        <f>I186-J186</f>
        <v>15956.309999999998</v>
      </c>
      <c r="L186" s="131"/>
      <c r="M186" s="182"/>
      <c r="N186" s="183"/>
      <c r="O186" s="119">
        <f t="shared" si="99"/>
        <v>0</v>
      </c>
      <c r="P186" s="120">
        <f t="shared" si="97"/>
        <v>76.200241632360843</v>
      </c>
      <c r="Q186" s="323"/>
      <c r="R186" s="32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9.5" customHeight="1" x14ac:dyDescent="0.25">
      <c r="A187" s="386" t="s">
        <v>80</v>
      </c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30"/>
      <c r="R187" s="330"/>
    </row>
    <row r="188" spans="1:50" s="15" customFormat="1" ht="72.75" customHeight="1" x14ac:dyDescent="0.25">
      <c r="A188" s="202" t="s">
        <v>120</v>
      </c>
      <c r="B188" s="16" t="s">
        <v>81</v>
      </c>
      <c r="C188" s="16" t="s">
        <v>82</v>
      </c>
      <c r="D188" s="16" t="s">
        <v>82</v>
      </c>
      <c r="E188" s="16" t="s">
        <v>83</v>
      </c>
      <c r="F188" s="16" t="s">
        <v>81</v>
      </c>
      <c r="G188" s="16"/>
      <c r="H188" s="16"/>
      <c r="I188" s="17">
        <f>I189</f>
        <v>4268106.4000000004</v>
      </c>
      <c r="J188" s="17">
        <f>J189</f>
        <v>3353212.86</v>
      </c>
      <c r="K188" s="17">
        <f>I188-J188</f>
        <v>914893.5400000005</v>
      </c>
      <c r="L188" s="17">
        <f t="shared" ref="L188:N188" si="100">L189</f>
        <v>0</v>
      </c>
      <c r="M188" s="17">
        <f t="shared" si="100"/>
        <v>0</v>
      </c>
      <c r="N188" s="17">
        <f t="shared" si="100"/>
        <v>0</v>
      </c>
      <c r="O188" s="20">
        <f t="shared" ref="O188:O189" si="101">I188-J188-K188</f>
        <v>0</v>
      </c>
      <c r="P188" s="21">
        <f>J188/I188*100</f>
        <v>78.564415826184643</v>
      </c>
      <c r="Q188" s="331"/>
      <c r="R188" s="331"/>
      <c r="S188" s="1"/>
      <c r="T188" s="1"/>
      <c r="U188" s="1"/>
      <c r="V188" s="1"/>
      <c r="W188" s="1"/>
      <c r="X188" s="1"/>
      <c r="Y188" s="1"/>
    </row>
    <row r="189" spans="1:50" s="15" customFormat="1" ht="18.75" customHeight="1" x14ac:dyDescent="0.25">
      <c r="A189" s="99" t="s">
        <v>113</v>
      </c>
      <c r="B189" s="22" t="s">
        <v>81</v>
      </c>
      <c r="C189" s="22" t="s">
        <v>82</v>
      </c>
      <c r="D189" s="22" t="s">
        <v>82</v>
      </c>
      <c r="E189" s="22" t="s">
        <v>83</v>
      </c>
      <c r="F189" s="22" t="s">
        <v>81</v>
      </c>
      <c r="G189" s="22" t="s">
        <v>114</v>
      </c>
      <c r="H189" s="22"/>
      <c r="I189" s="23">
        <v>4268106.4000000004</v>
      </c>
      <c r="J189" s="23">
        <v>3353212.86</v>
      </c>
      <c r="K189" s="23">
        <f>I189-J189</f>
        <v>914893.5400000005</v>
      </c>
      <c r="L189" s="292"/>
      <c r="M189" s="306"/>
      <c r="N189" s="305"/>
      <c r="O189" s="25">
        <f t="shared" si="101"/>
        <v>0</v>
      </c>
      <c r="P189" s="26">
        <f>J189/I189*100</f>
        <v>78.564415826184643</v>
      </c>
      <c r="Q189" s="331"/>
      <c r="R189" s="331"/>
      <c r="S189" s="1"/>
      <c r="T189" s="1"/>
      <c r="U189" s="1"/>
      <c r="V189" s="1"/>
      <c r="W189" s="1"/>
      <c r="X189" s="1"/>
      <c r="Y189" s="1"/>
    </row>
    <row r="190" spans="1:50" ht="0.75" customHeight="1" x14ac:dyDescent="0.25">
      <c r="A190" s="293"/>
      <c r="B190" s="293"/>
      <c r="C190" s="293"/>
      <c r="D190" s="293"/>
      <c r="E190" s="293"/>
      <c r="F190" s="293"/>
      <c r="G190" s="293"/>
      <c r="H190" s="294"/>
      <c r="I190" s="295"/>
      <c r="J190" s="296"/>
      <c r="K190" s="297"/>
      <c r="L190" s="305"/>
      <c r="M190" s="305"/>
      <c r="N190" s="305"/>
      <c r="O190" s="305"/>
      <c r="P190" s="305"/>
      <c r="Q190" s="305"/>
      <c r="R190" s="305"/>
    </row>
    <row r="191" spans="1:50" ht="19.5" customHeight="1" x14ac:dyDescent="0.25">
      <c r="A191" s="386" t="s">
        <v>186</v>
      </c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31"/>
      <c r="R191" s="331"/>
    </row>
    <row r="192" spans="1:50" s="15" customFormat="1" ht="76.5" customHeight="1" x14ac:dyDescent="0.25">
      <c r="A192" s="202"/>
      <c r="B192" s="16" t="s">
        <v>81</v>
      </c>
      <c r="C192" s="16" t="s">
        <v>82</v>
      </c>
      <c r="D192" s="16" t="s">
        <v>82</v>
      </c>
      <c r="E192" s="16" t="s">
        <v>83</v>
      </c>
      <c r="F192" s="16" t="s">
        <v>81</v>
      </c>
      <c r="G192" s="16"/>
      <c r="H192" s="16"/>
      <c r="I192" s="17">
        <f>I194+I193</f>
        <v>1250000</v>
      </c>
      <c r="J192" s="17">
        <f>J194+J193</f>
        <v>1249214</v>
      </c>
      <c r="K192" s="17">
        <f>I192-J192</f>
        <v>786</v>
      </c>
      <c r="L192" s="17">
        <f t="shared" ref="L192:N192" si="102">L194</f>
        <v>0</v>
      </c>
      <c r="M192" s="17">
        <f t="shared" si="102"/>
        <v>0</v>
      </c>
      <c r="N192" s="17">
        <f t="shared" si="102"/>
        <v>0</v>
      </c>
      <c r="O192" s="20">
        <f t="shared" ref="O192:O194" si="103">I192-J192-K192</f>
        <v>0</v>
      </c>
      <c r="P192" s="21">
        <f>J192/I192*100</f>
        <v>99.937120000000007</v>
      </c>
      <c r="Q192" s="331"/>
      <c r="R192" s="331"/>
      <c r="S192" s="1"/>
      <c r="T192" s="1"/>
      <c r="U192" s="1"/>
      <c r="V192" s="1"/>
      <c r="W192" s="1"/>
      <c r="X192" s="1"/>
      <c r="Y192" s="1"/>
    </row>
    <row r="193" spans="1:25" s="15" customFormat="1" ht="18.75" customHeight="1" x14ac:dyDescent="0.25">
      <c r="A193" s="99" t="s">
        <v>113</v>
      </c>
      <c r="B193" s="22" t="s">
        <v>81</v>
      </c>
      <c r="C193" s="22" t="s">
        <v>82</v>
      </c>
      <c r="D193" s="22" t="s">
        <v>82</v>
      </c>
      <c r="E193" s="22" t="s">
        <v>83</v>
      </c>
      <c r="F193" s="22" t="s">
        <v>81</v>
      </c>
      <c r="G193" s="22" t="s">
        <v>48</v>
      </c>
      <c r="H193" s="22"/>
      <c r="I193" s="23">
        <v>358999</v>
      </c>
      <c r="J193" s="23">
        <v>358213</v>
      </c>
      <c r="K193" s="23">
        <f>I193-J193</f>
        <v>786</v>
      </c>
      <c r="L193" s="292"/>
      <c r="M193" s="306"/>
      <c r="N193" s="305"/>
      <c r="O193" s="25">
        <f t="shared" si="103"/>
        <v>0</v>
      </c>
      <c r="P193" s="26">
        <f>J193/I193*100</f>
        <v>99.781057885955121</v>
      </c>
      <c r="Q193" s="331"/>
      <c r="R193" s="331"/>
      <c r="S193" s="1"/>
      <c r="T193" s="1"/>
      <c r="U193" s="1"/>
      <c r="V193" s="1"/>
      <c r="W193" s="1"/>
      <c r="X193" s="1"/>
      <c r="Y193" s="1"/>
    </row>
    <row r="194" spans="1:25" s="15" customFormat="1" ht="18.75" customHeight="1" x14ac:dyDescent="0.25">
      <c r="A194" s="99" t="s">
        <v>113</v>
      </c>
      <c r="B194" s="22" t="s">
        <v>81</v>
      </c>
      <c r="C194" s="22" t="s">
        <v>82</v>
      </c>
      <c r="D194" s="22" t="s">
        <v>82</v>
      </c>
      <c r="E194" s="22" t="s">
        <v>83</v>
      </c>
      <c r="F194" s="22" t="s">
        <v>81</v>
      </c>
      <c r="G194" s="22" t="s">
        <v>104</v>
      </c>
      <c r="H194" s="22"/>
      <c r="I194" s="23">
        <v>891001</v>
      </c>
      <c r="J194" s="23">
        <v>891001</v>
      </c>
      <c r="K194" s="23">
        <f>I194-J194</f>
        <v>0</v>
      </c>
      <c r="L194" s="292"/>
      <c r="M194" s="306"/>
      <c r="N194" s="305"/>
      <c r="O194" s="25">
        <f t="shared" si="103"/>
        <v>0</v>
      </c>
      <c r="P194" s="26">
        <f>J194/I194*100</f>
        <v>100</v>
      </c>
      <c r="Q194" s="331"/>
      <c r="R194" s="331"/>
      <c r="S194" s="1"/>
      <c r="T194" s="1"/>
      <c r="U194" s="1"/>
      <c r="V194" s="1"/>
      <c r="W194" s="1"/>
      <c r="X194" s="1"/>
      <c r="Y194" s="1"/>
    </row>
    <row r="195" spans="1:25" ht="27.75" customHeight="1" x14ac:dyDescent="0.25">
      <c r="A195" s="77"/>
      <c r="B195" s="78"/>
      <c r="C195" s="78"/>
      <c r="D195" s="78"/>
      <c r="E195" s="78"/>
      <c r="F195" s="78"/>
      <c r="G195" s="1"/>
      <c r="H195" s="1"/>
      <c r="I195" s="1"/>
      <c r="J195" s="1"/>
      <c r="K195" s="1"/>
      <c r="L195" s="73"/>
      <c r="M195" s="74"/>
      <c r="N195" s="75"/>
      <c r="O195" s="75"/>
      <c r="P195" s="75"/>
    </row>
    <row r="196" spans="1:25" ht="40.5" customHeight="1" x14ac:dyDescent="0.25">
      <c r="A196" s="379" t="s">
        <v>181</v>
      </c>
      <c r="B196" s="379"/>
      <c r="C196" s="379"/>
      <c r="D196" s="379"/>
      <c r="E196" s="379"/>
      <c r="F196" s="379"/>
      <c r="G196" s="379"/>
      <c r="H196" s="80"/>
      <c r="I196" s="1"/>
      <c r="J196" s="1"/>
      <c r="K196" s="1"/>
      <c r="L196" s="73"/>
      <c r="M196" s="74"/>
      <c r="N196" s="75"/>
      <c r="O196" s="75"/>
      <c r="P196" s="75"/>
    </row>
    <row r="197" spans="1:25" ht="15" customHeight="1" x14ac:dyDescent="0.25">
      <c r="A197" s="379" t="s">
        <v>177</v>
      </c>
      <c r="B197" s="379"/>
      <c r="C197" s="379"/>
      <c r="D197" s="379"/>
      <c r="E197" s="379"/>
      <c r="F197" s="379"/>
      <c r="G197" s="379"/>
      <c r="H197" s="80"/>
      <c r="I197" s="1"/>
      <c r="J197" s="1"/>
      <c r="K197" s="1"/>
      <c r="L197" s="73"/>
      <c r="M197" s="74"/>
      <c r="N197" s="75"/>
      <c r="O197" s="75"/>
      <c r="P197" s="75"/>
    </row>
    <row r="198" spans="1:25" ht="18.75" x14ac:dyDescent="0.25">
      <c r="A198" s="83"/>
      <c r="B198" s="84"/>
      <c r="C198" s="84"/>
      <c r="D198" s="84"/>
      <c r="E198" s="84"/>
      <c r="F198" s="84"/>
      <c r="G198" s="1"/>
      <c r="H198" s="1"/>
      <c r="I198" s="1"/>
      <c r="J198" s="1"/>
      <c r="K198" s="1"/>
      <c r="L198" s="73"/>
      <c r="M198" s="74"/>
      <c r="N198" s="75"/>
      <c r="O198" s="75"/>
      <c r="P198" s="75"/>
    </row>
    <row r="199" spans="1:25" x14ac:dyDescent="0.25">
      <c r="A199" s="1"/>
      <c r="B199" s="1"/>
      <c r="C199" s="1"/>
      <c r="D199" s="1"/>
      <c r="E199" s="1"/>
      <c r="F199" s="1"/>
      <c r="L199" s="73"/>
      <c r="M199" s="74"/>
      <c r="N199" s="75"/>
      <c r="O199" s="75"/>
      <c r="P199" s="75"/>
    </row>
    <row r="200" spans="1:25" x14ac:dyDescent="0.25">
      <c r="A200" s="1"/>
      <c r="B200" s="1"/>
      <c r="C200" s="1"/>
      <c r="D200" s="1"/>
      <c r="E200" s="1"/>
      <c r="F200" s="1"/>
      <c r="L200" s="73"/>
      <c r="M200" s="74"/>
      <c r="N200" s="75"/>
      <c r="O200" s="75"/>
      <c r="P200" s="75"/>
    </row>
    <row r="201" spans="1:25" x14ac:dyDescent="0.25">
      <c r="A201" s="1"/>
      <c r="B201" s="1"/>
      <c r="C201" s="1"/>
      <c r="D201" s="1"/>
      <c r="E201" s="1"/>
      <c r="F201" s="1"/>
      <c r="J201" s="246">
        <f>SUM(J194+J189+J186+J185+J183+J182+J170+J162+J160+J158+J153+J149+J148+J146+J137+J132+J131+J130+J129+J128+J127+J125+J124+J122+J121+J119+J118+J116+J114++J109+J108+J106+J105+J100+J99+J97+J96++J94+J92+J90+J88+J87+J85+J84+J83+J71+J68+J67+J66+J65+J64+J63+J55+J54+J52+J51+J49+J47+J45+J44+J43+J42+J40+J39+J38+J37+J36+J35+J34+J33+J31+J30+J29+J28+J27+J26+J25+J24+J23+J21+J20+J19+J17+J16+J193+J93+J73)</f>
        <v>105628704.29999998</v>
      </c>
      <c r="L201" s="73"/>
      <c r="M201" s="74"/>
      <c r="N201" s="75"/>
      <c r="O201" s="75"/>
      <c r="P201" s="75"/>
    </row>
    <row r="202" spans="1:25" x14ac:dyDescent="0.25">
      <c r="A202" s="1"/>
      <c r="B202" s="1"/>
      <c r="C202" s="1"/>
      <c r="D202" s="1"/>
      <c r="E202" s="1"/>
      <c r="F202" s="1"/>
      <c r="J202" s="128">
        <v>75541745.430000007</v>
      </c>
    </row>
    <row r="203" spans="1:25" x14ac:dyDescent="0.25">
      <c r="A203" s="1"/>
      <c r="B203" s="1"/>
      <c r="C203" s="1"/>
      <c r="D203" s="1"/>
      <c r="E203" s="1"/>
      <c r="F203" s="1"/>
      <c r="J203" s="246">
        <f>J202-J201</f>
        <v>-30086958.869999975</v>
      </c>
      <c r="L203" s="1"/>
      <c r="M203" s="1"/>
    </row>
    <row r="204" spans="1:25" x14ac:dyDescent="0.25">
      <c r="A204" s="1"/>
      <c r="B204" s="1"/>
      <c r="C204" s="1"/>
      <c r="D204" s="1"/>
      <c r="E204" s="1"/>
      <c r="F204" s="1"/>
      <c r="L204" s="1"/>
      <c r="M204" s="1"/>
    </row>
    <row r="205" spans="1:25" x14ac:dyDescent="0.25">
      <c r="A205" s="1"/>
      <c r="B205" s="1"/>
      <c r="C205" s="1"/>
      <c r="D205" s="1"/>
      <c r="E205" s="1"/>
      <c r="F205" s="1"/>
      <c r="L205" s="1"/>
      <c r="M205" s="1"/>
    </row>
    <row r="206" spans="1:25" x14ac:dyDescent="0.25">
      <c r="A206" s="1"/>
      <c r="B206" s="1"/>
      <c r="C206" s="1"/>
      <c r="D206" s="1"/>
      <c r="E206" s="1"/>
      <c r="F206" s="1"/>
      <c r="L206" s="1"/>
      <c r="M206" s="1"/>
    </row>
    <row r="207" spans="1:25" x14ac:dyDescent="0.25">
      <c r="A207" s="1"/>
      <c r="B207" s="1"/>
      <c r="C207" s="1"/>
      <c r="D207" s="1"/>
      <c r="E207" s="1"/>
      <c r="F207" s="1"/>
    </row>
    <row r="208" spans="1:25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x14ac:dyDescent="0.25">
      <c r="A213" s="1"/>
      <c r="B213" s="1"/>
      <c r="C213" s="1"/>
      <c r="D213" s="1"/>
      <c r="E213" s="1"/>
      <c r="F213" s="1"/>
    </row>
    <row r="214" spans="1:50" x14ac:dyDescent="0.25">
      <c r="A214" s="1"/>
      <c r="B214" s="1"/>
      <c r="C214" s="1"/>
      <c r="D214" s="1"/>
      <c r="E214" s="1"/>
      <c r="F214" s="1"/>
    </row>
    <row r="215" spans="1:50" x14ac:dyDescent="0.25">
      <c r="A215" s="1"/>
      <c r="B215" s="1"/>
      <c r="C215" s="1"/>
      <c r="D215" s="1"/>
      <c r="E215" s="1"/>
      <c r="F215" s="1"/>
    </row>
    <row r="216" spans="1:50" x14ac:dyDescent="0.25">
      <c r="A216" s="1"/>
      <c r="B216" s="1"/>
      <c r="C216" s="1"/>
      <c r="D216" s="1"/>
      <c r="E216" s="1"/>
      <c r="F216" s="1"/>
    </row>
    <row r="217" spans="1:50" x14ac:dyDescent="0.25">
      <c r="A217" s="1"/>
      <c r="B217" s="1"/>
      <c r="C217" s="1"/>
      <c r="D217" s="1"/>
      <c r="E217" s="1"/>
      <c r="F217" s="1"/>
    </row>
    <row r="218" spans="1:50" s="68" customFormat="1" x14ac:dyDescent="0.25">
      <c r="A218" s="1"/>
      <c r="B218" s="1"/>
      <c r="C218" s="1"/>
      <c r="D218" s="1"/>
      <c r="E218" s="1"/>
      <c r="F218" s="1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8" customFormat="1" x14ac:dyDescent="0.25">
      <c r="A219" s="85"/>
      <c r="I219" s="128"/>
      <c r="J219" s="128"/>
      <c r="K219" s="76"/>
      <c r="L219" s="76"/>
      <c r="M219" s="2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8" customFormat="1" x14ac:dyDescent="0.25">
      <c r="A220" s="85"/>
      <c r="I220" s="128"/>
      <c r="J220" s="128"/>
      <c r="K220" s="76"/>
      <c r="L220" s="76"/>
      <c r="M220" s="2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8" customFormat="1" x14ac:dyDescent="0.25">
      <c r="A221" s="85"/>
      <c r="I221" s="128"/>
      <c r="J221" s="128"/>
      <c r="K221" s="76"/>
      <c r="L221" s="76"/>
      <c r="M221" s="2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68" customFormat="1" x14ac:dyDescent="0.25">
      <c r="A222" s="85"/>
      <c r="I222" s="128"/>
      <c r="J222" s="128"/>
      <c r="K222" s="76"/>
      <c r="L222" s="76"/>
      <c r="M222" s="2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68" customFormat="1" x14ac:dyDescent="0.25">
      <c r="A223" s="85"/>
      <c r="I223" s="128"/>
      <c r="J223" s="128"/>
      <c r="K223" s="76"/>
      <c r="L223" s="76"/>
      <c r="M223" s="2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68" customFormat="1" x14ac:dyDescent="0.25">
      <c r="A224" s="85"/>
      <c r="I224" s="128"/>
      <c r="J224" s="128"/>
      <c r="K224" s="76"/>
      <c r="L224" s="76"/>
      <c r="M224" s="2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68" customFormat="1" x14ac:dyDescent="0.25">
      <c r="A225" s="85"/>
      <c r="I225" s="128"/>
      <c r="J225" s="128"/>
      <c r="K225" s="76"/>
      <c r="L225" s="76"/>
      <c r="M225" s="2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68" customFormat="1" x14ac:dyDescent="0.25">
      <c r="A226" s="85"/>
      <c r="I226" s="128"/>
      <c r="J226" s="128"/>
      <c r="K226" s="76"/>
      <c r="L226" s="76"/>
      <c r="M226" s="2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</sheetData>
  <mergeCells count="181"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57:R57"/>
    <mergeCell ref="Q58:R58"/>
    <mergeCell ref="Q59:R59"/>
    <mergeCell ref="Q60:R60"/>
    <mergeCell ref="Q63:R63"/>
    <mergeCell ref="A74:P74"/>
    <mergeCell ref="Q74:R74"/>
    <mergeCell ref="Q51:R51"/>
    <mergeCell ref="Q52:R52"/>
    <mergeCell ref="Q53:R53"/>
    <mergeCell ref="Q54:R54"/>
    <mergeCell ref="Q55:R55"/>
    <mergeCell ref="Q56:R56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93:R93"/>
    <mergeCell ref="N94:O94"/>
    <mergeCell ref="Q94:R94"/>
    <mergeCell ref="Q95:R95"/>
    <mergeCell ref="Q96:R96"/>
    <mergeCell ref="Q97:R97"/>
    <mergeCell ref="Q87:R87"/>
    <mergeCell ref="Q88:R88"/>
    <mergeCell ref="Q89:R89"/>
    <mergeCell ref="Q90:R90"/>
    <mergeCell ref="Q91:R91"/>
    <mergeCell ref="Q92:R92"/>
    <mergeCell ref="Q104:R104"/>
    <mergeCell ref="Q105:R105"/>
    <mergeCell ref="Q106:R106"/>
    <mergeCell ref="Q107:R107"/>
    <mergeCell ref="Q108:R108"/>
    <mergeCell ref="Q109:R109"/>
    <mergeCell ref="Q98:R98"/>
    <mergeCell ref="Q99:R99"/>
    <mergeCell ref="Q100:R100"/>
    <mergeCell ref="Q101:R101"/>
    <mergeCell ref="Q102:R102"/>
    <mergeCell ref="Q103:R103"/>
    <mergeCell ref="Q115:R115"/>
    <mergeCell ref="Q116:R116"/>
    <mergeCell ref="Q117:R117"/>
    <mergeCell ref="Q118:R118"/>
    <mergeCell ref="Q119:R119"/>
    <mergeCell ref="Q120:R120"/>
    <mergeCell ref="A110:P110"/>
    <mergeCell ref="Q110:R110"/>
    <mergeCell ref="Q111:R111"/>
    <mergeCell ref="Q112:R112"/>
    <mergeCell ref="Q113:R113"/>
    <mergeCell ref="Q114:R114"/>
    <mergeCell ref="Q127:R127"/>
    <mergeCell ref="Q128:R128"/>
    <mergeCell ref="Q129:R129"/>
    <mergeCell ref="Q130:R130"/>
    <mergeCell ref="Q131:R131"/>
    <mergeCell ref="Q132:R132"/>
    <mergeCell ref="Q121:R121"/>
    <mergeCell ref="Q122:R122"/>
    <mergeCell ref="Q123:R123"/>
    <mergeCell ref="Q124:R124"/>
    <mergeCell ref="Q125:R125"/>
    <mergeCell ref="Q126:R126"/>
    <mergeCell ref="Q146:R146"/>
    <mergeCell ref="Q147:R149"/>
    <mergeCell ref="Q150:R151"/>
    <mergeCell ref="Q152:R153"/>
    <mergeCell ref="A154:P154"/>
    <mergeCell ref="Q154:R154"/>
    <mergeCell ref="Q133:R135"/>
    <mergeCell ref="Q136:R137"/>
    <mergeCell ref="Q138:R139"/>
    <mergeCell ref="Q140:R141"/>
    <mergeCell ref="Q143:R144"/>
    <mergeCell ref="Q145:R145"/>
    <mergeCell ref="Q161:R161"/>
    <mergeCell ref="Q162:R162"/>
    <mergeCell ref="Q163:R163"/>
    <mergeCell ref="Q164:R164"/>
    <mergeCell ref="Q165:R165"/>
    <mergeCell ref="Q166:R166"/>
    <mergeCell ref="Q155:R155"/>
    <mergeCell ref="Q156:R156"/>
    <mergeCell ref="Q157:R157"/>
    <mergeCell ref="Q158:R158"/>
    <mergeCell ref="Q159:R159"/>
    <mergeCell ref="Q160:R160"/>
    <mergeCell ref="Q173:R173"/>
    <mergeCell ref="Q174:R174"/>
    <mergeCell ref="Q175:R175"/>
    <mergeCell ref="Q176:R176"/>
    <mergeCell ref="Q177:R177"/>
    <mergeCell ref="Q178:R180"/>
    <mergeCell ref="Q167:R167"/>
    <mergeCell ref="Q168:R168"/>
    <mergeCell ref="Q169:R169"/>
    <mergeCell ref="Q170:R170"/>
    <mergeCell ref="Q171:R171"/>
    <mergeCell ref="Q172:R172"/>
    <mergeCell ref="A197:G197"/>
    <mergeCell ref="A191:P191"/>
    <mergeCell ref="Q191:R191"/>
    <mergeCell ref="Q192:R192"/>
    <mergeCell ref="Q193:R193"/>
    <mergeCell ref="Q194:R194"/>
    <mergeCell ref="A196:G196"/>
    <mergeCell ref="Q181:R183"/>
    <mergeCell ref="Q184:R186"/>
    <mergeCell ref="A187:P187"/>
    <mergeCell ref="Q187:R187"/>
    <mergeCell ref="Q188:R188"/>
    <mergeCell ref="Q189:R189"/>
  </mergeCells>
  <printOptions horizontalCentered="1"/>
  <pageMargins left="0.39370078740157483" right="0.39370078740157483" top="0.6692913385826772" bottom="0.6692913385826772" header="0.11811023622047245" footer="0"/>
  <pageSetup paperSize="9" scale="52" fitToHeight="7" orientation="landscape" r:id="rId1"/>
  <rowBreaks count="2" manualBreakCount="2">
    <brk id="37" max="17" man="1"/>
    <brk id="63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CE24-6ADA-4700-BBA7-0AC6AD110622}">
  <sheetPr>
    <pageSetUpPr fitToPage="1"/>
  </sheetPr>
  <dimension ref="A1:AX226"/>
  <sheetViews>
    <sheetView tabSelected="1" showWhiteSpace="0" view="pageBreakPreview" zoomScale="80" zoomScaleNormal="75" zoomScaleSheetLayoutView="80" workbookViewId="0">
      <pane ySplit="5" topLeftCell="A6" activePane="bottomLeft" state="frozen"/>
      <selection pane="bottomLeft" activeCell="J6" sqref="J6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10.140625" style="1" bestFit="1" customWidth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213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214</v>
      </c>
      <c r="K3" s="353" t="s">
        <v>6</v>
      </c>
      <c r="L3" s="169"/>
      <c r="M3" s="170"/>
      <c r="N3" s="169"/>
      <c r="O3" s="353" t="s">
        <v>7</v>
      </c>
      <c r="P3" s="355" t="s">
        <v>215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>I8+I74+I110+I155+I188+I192</f>
        <v>136020518.60999998</v>
      </c>
      <c r="J6" s="160">
        <f>J8+J74+J110+J155+J188+J192</f>
        <v>122481627.80999999</v>
      </c>
      <c r="K6" s="160">
        <f>K8+K74+K110+K155+K188+K192</f>
        <v>13538889.91</v>
      </c>
      <c r="L6" s="160" t="e">
        <f>L8+L74+L110+L155+L188+L192</f>
        <v>#REF!</v>
      </c>
      <c r="M6" s="160" t="e">
        <f>M8+M74+M110+M155+M188+M192</f>
        <v>#REF!</v>
      </c>
      <c r="N6" s="160" t="e">
        <f>N8+N74+N110+N155+N188+N192</f>
        <v>#REF!</v>
      </c>
      <c r="O6" s="160">
        <f>O8+O74+O110+O155+O188+O192</f>
        <v>1.7800000024826659</v>
      </c>
      <c r="P6" s="163">
        <f>J6/I6*100</f>
        <v>90.046434950877597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</f>
        <v>26396686.939999998</v>
      </c>
      <c r="J8" s="9">
        <f>J9</f>
        <v>24628361.389999993</v>
      </c>
      <c r="K8" s="9">
        <f>K9+K61+K68</f>
        <v>1768324.6600000015</v>
      </c>
      <c r="L8" s="9" t="e">
        <f>L9+L61+L68</f>
        <v>#REF!</v>
      </c>
      <c r="M8" s="9" t="e">
        <f>M9+M61+M68</f>
        <v>#REF!</v>
      </c>
      <c r="N8" s="9" t="e">
        <f>N9+N61+N68</f>
        <v>#REF!</v>
      </c>
      <c r="O8" s="9">
        <f>O9+O61+O68</f>
        <v>1.7800000024435576</v>
      </c>
      <c r="P8" s="12">
        <f>J8/I8*100</f>
        <v>93.300956464652444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I10+I41+I46+I48+I50+I53+I59+I56+I61+I68+I71</f>
        <v>26396686.939999998</v>
      </c>
      <c r="J9" s="157">
        <f>J10+J41+J46+J48+J50+J53+J59+J56+J61+J68+J71</f>
        <v>24628361.389999993</v>
      </c>
      <c r="K9" s="157">
        <f>K10+K41+K46+K48+K50+K53+K59+K56+K61+K68+K71</f>
        <v>1768324.6600000015</v>
      </c>
      <c r="L9" s="157" t="e">
        <f>L10+L41+L46+L48+L50+L53+L59+L56+L61+L68+L71</f>
        <v>#REF!</v>
      </c>
      <c r="M9" s="157" t="e">
        <f>M10+M41+M46+M48+M50+M53+M59+M56+M61+M68+M71</f>
        <v>#REF!</v>
      </c>
      <c r="N9" s="157" t="e">
        <f>N10+N41+N46+N48+N50+N53+N59+N56+N61+N68+N71</f>
        <v>#REF!</v>
      </c>
      <c r="O9" s="157">
        <f>O10+O41+O46+O48+O50+O53+O59+O56+O61+O68+O71</f>
        <v>0.89000000244413968</v>
      </c>
      <c r="P9" s="157">
        <f>J9/I9*100</f>
        <v>93.300956464652444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>I11</f>
        <v>12659144.259999998</v>
      </c>
      <c r="J10" s="17">
        <f>J11</f>
        <v>11827970.949999996</v>
      </c>
      <c r="K10" s="17">
        <f>K11</f>
        <v>831173.30999999994</v>
      </c>
      <c r="L10" s="17" t="e">
        <f t="shared" ref="K10:N11" si="0">L11</f>
        <v>#REF!</v>
      </c>
      <c r="M10" s="17">
        <f t="shared" si="0"/>
        <v>0</v>
      </c>
      <c r="N10" s="17">
        <f t="shared" si="0"/>
        <v>0</v>
      </c>
      <c r="O10" s="20">
        <f>I10-J10-K10</f>
        <v>2.4447217583656311E-9</v>
      </c>
      <c r="P10" s="21">
        <f>P9</f>
        <v>93.300956464652444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12659144.259999998</v>
      </c>
      <c r="J11" s="28">
        <f>J12</f>
        <v>11827970.949999996</v>
      </c>
      <c r="K11" s="33">
        <f t="shared" si="0"/>
        <v>831173.30999999994</v>
      </c>
      <c r="L11" s="33" t="e">
        <f t="shared" si="0"/>
        <v>#REF!</v>
      </c>
      <c r="M11" s="33">
        <f t="shared" si="0"/>
        <v>0</v>
      </c>
      <c r="N11" s="33">
        <f t="shared" si="0"/>
        <v>0</v>
      </c>
      <c r="O11" s="88">
        <f t="shared" ref="O11:O12" si="1">I11-J11-K11</f>
        <v>2.4447217583656311E-9</v>
      </c>
      <c r="P11" s="26">
        <f t="shared" ref="P11:P60" si="2">J11/I11*100</f>
        <v>93.434206191754058</v>
      </c>
      <c r="Q11" s="352"/>
      <c r="R11" s="352"/>
      <c r="T11" s="278">
        <f>'[1]11.21'!$C$318</f>
        <v>134844620.73999998</v>
      </c>
      <c r="U11" s="227"/>
      <c r="V11" s="277">
        <f>'[1]11.21'!$M$318</f>
        <v>105640072.71999998</v>
      </c>
    </row>
    <row r="12" spans="1:50" ht="23.25" customHeight="1" x14ac:dyDescent="0.3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>I13</f>
        <v>12659144.259999998</v>
      </c>
      <c r="J12" s="35">
        <f>J13</f>
        <v>11827970.949999996</v>
      </c>
      <c r="K12" s="35">
        <f>K13</f>
        <v>831173.30999999994</v>
      </c>
      <c r="L12" s="87" t="e">
        <f>L13</f>
        <v>#REF!</v>
      </c>
      <c r="M12" s="176"/>
      <c r="N12" s="177"/>
      <c r="O12" s="88">
        <f t="shared" si="1"/>
        <v>2.4447217583656311E-9</v>
      </c>
      <c r="P12" s="26">
        <f t="shared" si="2"/>
        <v>93.434206191754058</v>
      </c>
      <c r="Q12" s="352"/>
      <c r="R12" s="352"/>
      <c r="T12" s="279">
        <v>44433</v>
      </c>
      <c r="V12" s="225">
        <f>V11-J6</f>
        <v>-16841555.090000004</v>
      </c>
    </row>
    <row r="13" spans="1:50" ht="57" thickBot="1" x14ac:dyDescent="0.3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12659144.259999998</v>
      </c>
      <c r="J13" s="35">
        <f>J14+J32</f>
        <v>11827970.949999996</v>
      </c>
      <c r="K13" s="35">
        <f>K14+K32</f>
        <v>831173.30999999994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2.4447217583656311E-9</v>
      </c>
      <c r="P13" s="26">
        <f t="shared" si="2"/>
        <v>93.434206191754058</v>
      </c>
      <c r="Q13" s="352"/>
      <c r="R13" s="352"/>
      <c r="T13" s="280">
        <v>125716120.73999999</v>
      </c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11258682.879999999</v>
      </c>
      <c r="J14" s="28">
        <f>J15+J22+J27+J29+J30+J31+J21+J18+J28</f>
        <v>10487852.419999996</v>
      </c>
      <c r="K14" s="28">
        <f>K15+K22+K27+K29+K30+K31+K21+K18+K28</f>
        <v>770830.46</v>
      </c>
      <c r="L14" s="28" t="e">
        <f t="shared" ref="L14:N14" si="3">L15+L22+L27+L29+L30+L31+L21+L18+L28</f>
        <v>#REF!</v>
      </c>
      <c r="M14" s="28">
        <f t="shared" si="3"/>
        <v>-1635624.3199999996</v>
      </c>
      <c r="N14" s="28">
        <f t="shared" si="3"/>
        <v>3400522.51</v>
      </c>
      <c r="O14" s="28">
        <f>O15+O22+O27+O29+O30+O31+O21+O18+O28</f>
        <v>0</v>
      </c>
      <c r="P14" s="26">
        <f t="shared" si="2"/>
        <v>93.153457929174721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2634107.5999999996</v>
      </c>
      <c r="K15" s="28">
        <f>K16+K17</f>
        <v>289264.8600000001</v>
      </c>
      <c r="L15" s="28">
        <f t="shared" ref="L15:N15" si="4">L16+L17+L18</f>
        <v>1807876.0499999998</v>
      </c>
      <c r="M15" s="28">
        <f t="shared" si="4"/>
        <v>-1592646.4599999997</v>
      </c>
      <c r="N15" s="28">
        <f t="shared" si="4"/>
        <v>3400522.51</v>
      </c>
      <c r="O15" s="28">
        <f>O16+O17</f>
        <v>0</v>
      </c>
      <c r="P15" s="26">
        <f t="shared" si="2"/>
        <v>90.10509731626874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2023105.64</v>
      </c>
      <c r="K16" s="100">
        <f>I16-J16</f>
        <v>215229.59000000008</v>
      </c>
      <c r="L16" s="100">
        <f t="shared" ref="L16:N16" si="5">J16-K16</f>
        <v>1807876.0499999998</v>
      </c>
      <c r="M16" s="100">
        <f t="shared" si="5"/>
        <v>-1592646.4599999997</v>
      </c>
      <c r="N16" s="100">
        <f t="shared" si="5"/>
        <v>3400522.51</v>
      </c>
      <c r="O16" s="153">
        <f>I16-J16-K16</f>
        <v>0</v>
      </c>
      <c r="P16" s="26">
        <f t="shared" si="2"/>
        <v>90.38438983065106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611001.96</v>
      </c>
      <c r="K17" s="100">
        <f>I17-J17</f>
        <v>74035.270000000019</v>
      </c>
      <c r="L17" s="165"/>
      <c r="M17" s="176"/>
      <c r="N17" s="177"/>
      <c r="O17" s="153">
        <f t="shared" ref="O17:O21" si="6">I17-J17-K17</f>
        <v>0</v>
      </c>
      <c r="P17" s="26">
        <f t="shared" si="2"/>
        <v>89.192518777410086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73130</v>
      </c>
      <c r="J18" s="33">
        <f t="shared" ref="J18:O18" si="7">J19+J20</f>
        <v>73130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6">
        <f t="shared" si="2"/>
        <v>100</v>
      </c>
      <c r="Q18" s="331"/>
      <c r="R18" s="331"/>
    </row>
    <row r="19" spans="1:18" ht="21" customHeight="1" x14ac:dyDescent="0.25">
      <c r="A19" s="175" t="s">
        <v>217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0" si="8">I19-J19</f>
        <v>0</v>
      </c>
      <c r="L19" s="28"/>
      <c r="M19" s="28"/>
      <c r="N19" s="28"/>
      <c r="O19" s="35">
        <f t="shared" si="6"/>
        <v>0</v>
      </c>
      <c r="P19" s="26">
        <v>0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23">
        <v>73130</v>
      </c>
      <c r="J20" s="35">
        <v>73130</v>
      </c>
      <c r="K20" s="35">
        <f t="shared" si="8"/>
        <v>0</v>
      </c>
      <c r="L20" s="28"/>
      <c r="M20" s="28"/>
      <c r="N20" s="28"/>
      <c r="O20" s="35">
        <f t="shared" si="6"/>
        <v>0</v>
      </c>
      <c r="P20" s="26">
        <f t="shared" si="2"/>
        <v>100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33">
        <v>30000</v>
      </c>
      <c r="J21" s="28">
        <v>26853.54</v>
      </c>
      <c r="K21" s="28">
        <f>I21-J21</f>
        <v>3146.4599999999991</v>
      </c>
      <c r="L21" s="166" t="e">
        <f>L22+L23</f>
        <v>#REF!</v>
      </c>
      <c r="M21" s="180"/>
      <c r="N21" s="181"/>
      <c r="O21" s="88">
        <f t="shared" si="6"/>
        <v>0</v>
      </c>
      <c r="P21" s="26">
        <f t="shared" si="2"/>
        <v>89.511800000000008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7155437.2800000003</v>
      </c>
      <c r="J22" s="33">
        <f t="shared" ref="J22:O22" si="9">J23+J25+J26+J24</f>
        <v>6677018.1399999997</v>
      </c>
      <c r="K22" s="28">
        <f t="shared" si="9"/>
        <v>478419.13999999996</v>
      </c>
      <c r="L22" s="28" t="e">
        <f t="shared" si="9"/>
        <v>#REF!</v>
      </c>
      <c r="M22" s="28">
        <f t="shared" si="9"/>
        <v>0</v>
      </c>
      <c r="N22" s="28">
        <f t="shared" si="9"/>
        <v>0</v>
      </c>
      <c r="O22" s="28">
        <f t="shared" si="9"/>
        <v>0</v>
      </c>
      <c r="P22" s="26">
        <f t="shared" si="2"/>
        <v>93.313907714106875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f>155350.32-30000</f>
        <v>125350.32</v>
      </c>
      <c r="J23" s="23">
        <v>124982.37</v>
      </c>
      <c r="K23" s="35">
        <f>I23-J23</f>
        <v>367.95000000001164</v>
      </c>
      <c r="L23" s="165" t="e">
        <f>#REF!</f>
        <v>#REF!</v>
      </c>
      <c r="M23" s="176"/>
      <c r="N23" s="177"/>
      <c r="O23" s="153">
        <f>I23-J23-K23</f>
        <v>0</v>
      </c>
      <c r="P23" s="26">
        <f t="shared" si="2"/>
        <v>99.706462656018729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55200</v>
      </c>
      <c r="J24" s="23">
        <v>55200</v>
      </c>
      <c r="K24" s="35">
        <f>I24-J24</f>
        <v>0</v>
      </c>
      <c r="L24" s="165" t="e">
        <f>#REF!</f>
        <v>#REF!</v>
      </c>
      <c r="M24" s="176"/>
      <c r="N24" s="177"/>
      <c r="O24" s="153">
        <f t="shared" ref="O24:O40" si="10">I24-J24-K24</f>
        <v>0</v>
      </c>
      <c r="P24" s="26"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v>5021420.93</v>
      </c>
      <c r="J25" s="23">
        <v>4930308.18</v>
      </c>
      <c r="K25" s="35">
        <f>I25-J25</f>
        <v>91112.75</v>
      </c>
      <c r="L25" s="87" t="e">
        <f>SUM(#REF!)</f>
        <v>#REF!</v>
      </c>
      <c r="M25" s="176"/>
      <c r="N25" s="177"/>
      <c r="O25" s="153">
        <f t="shared" si="10"/>
        <v>0</v>
      </c>
      <c r="P25" s="26">
        <f t="shared" si="2"/>
        <v>98.18551857591433</v>
      </c>
      <c r="Q25" s="347"/>
      <c r="R25" s="348"/>
    </row>
    <row r="26" spans="1:18" ht="47.2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v>1953466.03</v>
      </c>
      <c r="J26" s="23">
        <v>1566527.59</v>
      </c>
      <c r="K26" s="23">
        <f t="shared" ref="K26:K31" si="11">I26-J26</f>
        <v>386938.43999999994</v>
      </c>
      <c r="L26" s="24" t="e">
        <f>#REF!</f>
        <v>#REF!</v>
      </c>
      <c r="M26" s="182"/>
      <c r="N26" s="183"/>
      <c r="O26" s="25">
        <f t="shared" si="10"/>
        <v>0</v>
      </c>
      <c r="P26" s="26">
        <f t="shared" si="2"/>
        <v>80.192210457839394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f>1141625.86-67004.86</f>
        <v>1074621</v>
      </c>
      <c r="J27" s="23">
        <v>1074621</v>
      </c>
      <c r="K27" s="23">
        <f t="shared" si="11"/>
        <v>0</v>
      </c>
      <c r="L27" s="24">
        <f t="shared" ref="L27:L28" si="12">L29+L30</f>
        <v>45000</v>
      </c>
      <c r="M27" s="182"/>
      <c r="N27" s="183"/>
      <c r="O27" s="25">
        <f t="shared" si="10"/>
        <v>0</v>
      </c>
      <c r="P27" s="26">
        <f t="shared" si="2"/>
        <v>100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100</v>
      </c>
      <c r="J28" s="23">
        <v>100</v>
      </c>
      <c r="K28" s="23">
        <f t="shared" si="11"/>
        <v>0</v>
      </c>
      <c r="L28" s="24">
        <f t="shared" si="12"/>
        <v>30000</v>
      </c>
      <c r="M28" s="182"/>
      <c r="N28" s="183"/>
      <c r="O28" s="25">
        <f t="shared" si="10"/>
        <v>0</v>
      </c>
      <c r="P28" s="26">
        <f t="shared" si="2"/>
        <v>100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f>1213.52+500</f>
        <v>1713.52</v>
      </c>
      <c r="J29" s="230">
        <v>1713.52</v>
      </c>
      <c r="K29" s="23">
        <f t="shared" si="11"/>
        <v>0</v>
      </c>
      <c r="L29" s="38">
        <v>15000</v>
      </c>
      <c r="M29" s="182">
        <f>J29-L29</f>
        <v>-13286.48</v>
      </c>
      <c r="N29" s="183"/>
      <c r="O29" s="25">
        <f t="shared" si="10"/>
        <v>0</v>
      </c>
      <c r="P29" s="26">
        <f t="shared" si="2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v>308.62</v>
      </c>
      <c r="J30" s="23">
        <v>308.62</v>
      </c>
      <c r="K30" s="23">
        <f t="shared" si="11"/>
        <v>0</v>
      </c>
      <c r="L30" s="38">
        <v>30000</v>
      </c>
      <c r="M30" s="182">
        <f>J30-L30</f>
        <v>-29691.38</v>
      </c>
      <c r="N30" s="183"/>
      <c r="O30" s="25">
        <f t="shared" si="10"/>
        <v>0</v>
      </c>
      <c r="P30" s="26">
        <f t="shared" si="2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1"/>
        <v>0</v>
      </c>
      <c r="L31" s="38"/>
      <c r="M31" s="182"/>
      <c r="N31" s="183"/>
      <c r="O31" s="25">
        <f t="shared" si="10"/>
        <v>0</v>
      </c>
      <c r="P31" s="26">
        <v>0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1400461.38</v>
      </c>
      <c r="J32" s="33">
        <f>J34+J33+J37+J38+J39+J40+J35+J36</f>
        <v>1340118.53</v>
      </c>
      <c r="K32" s="33">
        <f>K34+K33+K37+K38+K39+K40+K35+K36</f>
        <v>60342.850000000006</v>
      </c>
      <c r="L32" s="33" t="e">
        <f t="shared" ref="L32:N32" si="13">L34+L33+L37+L38+L39+L40</f>
        <v>#REF!</v>
      </c>
      <c r="M32" s="33">
        <f t="shared" si="13"/>
        <v>-4500867.8599999994</v>
      </c>
      <c r="N32" s="33">
        <f t="shared" si="13"/>
        <v>0</v>
      </c>
      <c r="O32" s="33">
        <f>O34+O33+O37+O38+O39+O40</f>
        <v>0</v>
      </c>
      <c r="P32" s="31">
        <f t="shared" si="2"/>
        <v>95.691216418977589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v>816740.64</v>
      </c>
      <c r="J33" s="23">
        <v>816740.64</v>
      </c>
      <c r="K33" s="23">
        <f>I33-J33</f>
        <v>0</v>
      </c>
      <c r="L33" s="39" t="e">
        <f>#REF!+#REF!+L78+#REF!+#REF!</f>
        <v>#REF!</v>
      </c>
      <c r="M33" s="182"/>
      <c r="N33" s="183"/>
      <c r="O33" s="25">
        <f>I33-J33-K33</f>
        <v>0</v>
      </c>
      <c r="P33" s="26">
        <f t="shared" si="2"/>
        <v>100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20000</v>
      </c>
      <c r="J34" s="23">
        <v>0</v>
      </c>
      <c r="K34" s="23">
        <f t="shared" ref="K34:K37" si="14">I34-J34</f>
        <v>20000</v>
      </c>
      <c r="L34" s="23">
        <f t="shared" ref="L34:N34" si="15">L37+L39+L40+L38</f>
        <v>2501159.4</v>
      </c>
      <c r="M34" s="23">
        <f t="shared" si="15"/>
        <v>-2250433.9299999997</v>
      </c>
      <c r="N34" s="23">
        <f t="shared" si="15"/>
        <v>0</v>
      </c>
      <c r="O34" s="25">
        <f t="shared" si="10"/>
        <v>0</v>
      </c>
      <c r="P34" s="26">
        <f t="shared" si="2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0"/>
        <v>0</v>
      </c>
      <c r="P35" s="26">
        <v>0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238.5</v>
      </c>
      <c r="J36" s="34">
        <v>238.5</v>
      </c>
      <c r="K36" s="23">
        <f>I36-J36</f>
        <v>0</v>
      </c>
      <c r="L36" s="97"/>
      <c r="M36" s="98"/>
      <c r="N36" s="98"/>
      <c r="O36" s="25">
        <f t="shared" si="10"/>
        <v>0</v>
      </c>
      <c r="P36" s="26">
        <f t="shared" si="2"/>
        <v>100</v>
      </c>
      <c r="Q36" s="312"/>
      <c r="R36" s="313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f>150000-56138.52</f>
        <v>93861.48000000001</v>
      </c>
      <c r="J37" s="34">
        <v>81444.070000000007</v>
      </c>
      <c r="K37" s="23">
        <f t="shared" si="14"/>
        <v>12417.410000000003</v>
      </c>
      <c r="L37" s="38">
        <v>1178466</v>
      </c>
      <c r="M37" s="182">
        <f>J37-L37</f>
        <v>-1097021.93</v>
      </c>
      <c r="N37" s="183"/>
      <c r="O37" s="25">
        <f t="shared" si="10"/>
        <v>0</v>
      </c>
      <c r="P37" s="26">
        <f t="shared" si="2"/>
        <v>86.770494136678849</v>
      </c>
      <c r="Q37" s="347"/>
      <c r="R37" s="348"/>
    </row>
    <row r="38" spans="1:50" s="15" customFormat="1" ht="31.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f>90000-64946</f>
        <v>25054</v>
      </c>
      <c r="J38" s="34">
        <v>25054</v>
      </c>
      <c r="K38" s="23">
        <v>0</v>
      </c>
      <c r="L38" s="38">
        <v>1178466</v>
      </c>
      <c r="M38" s="182">
        <f>J38-L38</f>
        <v>-1153412</v>
      </c>
      <c r="N38" s="183"/>
      <c r="O38" s="25">
        <f t="shared" si="10"/>
        <v>0</v>
      </c>
      <c r="P38" s="26">
        <f t="shared" si="2"/>
        <v>100</v>
      </c>
      <c r="Q38" s="388"/>
      <c r="R38" s="388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v>421651.76</v>
      </c>
      <c r="J39" s="34">
        <v>393726.32</v>
      </c>
      <c r="K39" s="23">
        <f>I39-J39</f>
        <v>27925.440000000002</v>
      </c>
      <c r="L39" s="38"/>
      <c r="M39" s="182"/>
      <c r="N39" s="183"/>
      <c r="O39" s="25">
        <f t="shared" si="10"/>
        <v>0</v>
      </c>
      <c r="P39" s="26">
        <f t="shared" si="2"/>
        <v>93.377131877737213</v>
      </c>
      <c r="Q39" s="388"/>
      <c r="R39" s="38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f>40000-17085</f>
        <v>22915</v>
      </c>
      <c r="J40" s="34">
        <v>22915</v>
      </c>
      <c r="K40" s="23">
        <v>0</v>
      </c>
      <c r="L40" s="38">
        <f>88938.77+50000+5288.63</f>
        <v>144227.40000000002</v>
      </c>
      <c r="M40" s="184"/>
      <c r="N40" s="185"/>
      <c r="O40" s="90">
        <f t="shared" si="10"/>
        <v>0</v>
      </c>
      <c r="P40" s="26">
        <f>J40/I40*100</f>
        <v>100</v>
      </c>
      <c r="Q40" s="388"/>
      <c r="R40" s="38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556234.59</v>
      </c>
      <c r="K41" s="17">
        <f>K42+K44+K45+K43</f>
        <v>45221.250000000036</v>
      </c>
      <c r="L41" s="42"/>
      <c r="M41" s="186"/>
      <c r="N41" s="187"/>
      <c r="O41" s="20">
        <f>I41-K41-J41</f>
        <v>0</v>
      </c>
      <c r="P41" s="21">
        <f>J41/I41*100</f>
        <v>92.481368208179674</v>
      </c>
      <c r="Q41" s="331"/>
      <c r="R41" s="331"/>
      <c r="S41" s="29">
        <f>S42+S44</f>
        <v>340012.29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436153.79</v>
      </c>
      <c r="K42" s="35">
        <f>I42-J42</f>
        <v>33096.910000000033</v>
      </c>
      <c r="L42" s="45"/>
      <c r="M42" s="188"/>
      <c r="N42" s="189"/>
      <c r="O42" s="25">
        <f>I42-K42-J42</f>
        <v>0</v>
      </c>
      <c r="P42" s="26">
        <f t="shared" si="2"/>
        <v>92.946859748957209</v>
      </c>
      <c r="Q42" s="347"/>
      <c r="R42" s="348"/>
      <c r="S42" s="29">
        <f>T42-K42</f>
        <v>289174.28999999998</v>
      </c>
      <c r="T42" s="1">
        <f>292753+(4919.7*3*2)</f>
        <v>322271.2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66693.179999999993</v>
      </c>
      <c r="K43" s="35">
        <f>I43-J43</f>
        <v>9177.9600000000064</v>
      </c>
      <c r="L43" s="45"/>
      <c r="M43" s="188"/>
      <c r="N43" s="189"/>
      <c r="O43" s="25">
        <f>I43-K43-J43</f>
        <v>0</v>
      </c>
      <c r="P43" s="26">
        <f t="shared" si="2"/>
        <v>87.903226444205259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51336</v>
      </c>
      <c r="K44" s="35">
        <f t="shared" ref="K44:K45" si="16">I44-J44</f>
        <v>498</v>
      </c>
      <c r="L44" s="45"/>
      <c r="M44" s="188"/>
      <c r="N44" s="189"/>
      <c r="O44" s="25">
        <f>I44-K44-J44</f>
        <v>0</v>
      </c>
      <c r="P44" s="26">
        <f t="shared" si="2"/>
        <v>99.039240652853351</v>
      </c>
      <c r="Q44" s="331"/>
      <c r="R44" s="331"/>
      <c r="S44" s="29">
        <f>T44-K44</f>
        <v>50838</v>
      </c>
      <c r="T44" s="1">
        <f>8556*6</f>
        <v>51336</v>
      </c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2051.62</v>
      </c>
      <c r="K45" s="35">
        <f t="shared" si="16"/>
        <v>2448.38</v>
      </c>
      <c r="L45" s="24" t="e">
        <f t="shared" ref="L45" si="17">L46+L47</f>
        <v>#REF!</v>
      </c>
      <c r="M45" s="182"/>
      <c r="N45" s="183"/>
      <c r="O45" s="25">
        <f t="shared" ref="O45" si="18">I45-J45-K45</f>
        <v>0</v>
      </c>
      <c r="P45" s="26">
        <f t="shared" si="2"/>
        <v>45.591555555555551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1556000</v>
      </c>
      <c r="J46" s="17">
        <f t="shared" ref="J46:O46" si="19">J47</f>
        <v>1531164.38</v>
      </c>
      <c r="K46" s="17">
        <f>K47</f>
        <v>24835.620000000112</v>
      </c>
      <c r="L46" s="17" t="e">
        <f t="shared" si="19"/>
        <v>#REF!</v>
      </c>
      <c r="M46" s="17" t="e">
        <f t="shared" si="19"/>
        <v>#REF!</v>
      </c>
      <c r="N46" s="17" t="e">
        <f t="shared" si="19"/>
        <v>#REF!</v>
      </c>
      <c r="O46" s="17">
        <f t="shared" si="19"/>
        <v>0</v>
      </c>
      <c r="P46" s="21">
        <f t="shared" si="2"/>
        <v>98.403880462724928</v>
      </c>
      <c r="Q46" s="380"/>
      <c r="R46" s="3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v>1556000</v>
      </c>
      <c r="J47" s="23">
        <v>1531164.38</v>
      </c>
      <c r="K47" s="23">
        <f>I47-J47</f>
        <v>24835.620000000112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5">
        <f>I47-J47-K47</f>
        <v>0</v>
      </c>
      <c r="P47" s="26">
        <f t="shared" si="2"/>
        <v>98.403880462724928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11184552.800000001</v>
      </c>
      <c r="J48" s="17">
        <f t="shared" ref="J48:K48" si="20">J49</f>
        <v>10323164.449999999</v>
      </c>
      <c r="K48" s="17">
        <f t="shared" si="20"/>
        <v>861388.35000000149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1">I48-J48-K48</f>
        <v>0</v>
      </c>
      <c r="P48" s="17">
        <f>P49</f>
        <v>92.298410446951422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v>11184552.800000001</v>
      </c>
      <c r="J49" s="34">
        <v>10323164.449999999</v>
      </c>
      <c r="K49" s="36">
        <f>I49-J49</f>
        <v>861388.35000000149</v>
      </c>
      <c r="L49" s="37"/>
      <c r="M49" s="182"/>
      <c r="N49" s="183"/>
      <c r="O49" s="25">
        <f>I49-J49-K49</f>
        <v>0</v>
      </c>
      <c r="P49" s="26">
        <f>J49/I49*100</f>
        <v>92.298410446951422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2">J51+J52</f>
        <v>10952.36</v>
      </c>
      <c r="K50" s="17">
        <f t="shared" si="22"/>
        <v>2416.6599999999989</v>
      </c>
      <c r="L50" s="42"/>
      <c r="M50" s="186"/>
      <c r="N50" s="187"/>
      <c r="O50" s="20">
        <f>I50-J50-K50</f>
        <v>0</v>
      </c>
      <c r="P50" s="21">
        <f t="shared" si="2"/>
        <v>81.923431934427498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8411.9500000000007</v>
      </c>
      <c r="K51" s="35">
        <f>I51-J51</f>
        <v>1856.119999999999</v>
      </c>
      <c r="L51" s="93"/>
      <c r="M51" s="188"/>
      <c r="N51" s="189"/>
      <c r="O51" s="25">
        <f t="shared" ref="O51:O52" si="23">I51-J51-K51</f>
        <v>0</v>
      </c>
      <c r="P51" s="26">
        <f t="shared" si="2"/>
        <v>81.923379953584273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2540.41</v>
      </c>
      <c r="K52" s="35">
        <f>I52-J52</f>
        <v>560.54</v>
      </c>
      <c r="L52" s="93"/>
      <c r="M52" s="188"/>
      <c r="N52" s="189"/>
      <c r="O52" s="25">
        <f t="shared" si="23"/>
        <v>0</v>
      </c>
      <c r="P52" s="26">
        <f t="shared" si="2"/>
        <v>81.923604056821304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75398.66</v>
      </c>
      <c r="J53" s="17">
        <f t="shared" ref="J53:K53" si="24">J54+J55</f>
        <v>75398.66</v>
      </c>
      <c r="K53" s="17">
        <f t="shared" si="24"/>
        <v>0</v>
      </c>
      <c r="L53" s="42"/>
      <c r="M53" s="186"/>
      <c r="N53" s="187"/>
      <c r="O53" s="20">
        <f>I53-J53-K53</f>
        <v>0</v>
      </c>
      <c r="P53" s="21">
        <f t="shared" si="2"/>
        <v>100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57909.88</v>
      </c>
      <c r="J54" s="34">
        <v>57909.88</v>
      </c>
      <c r="K54" s="35">
        <f>I54-J54</f>
        <v>0</v>
      </c>
      <c r="L54" s="93"/>
      <c r="M54" s="188"/>
      <c r="N54" s="189"/>
      <c r="O54" s="25">
        <f t="shared" ref="O54:O55" si="25">I54-J54-K54</f>
        <v>0</v>
      </c>
      <c r="P54" s="26">
        <f t="shared" si="2"/>
        <v>100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17488.78</v>
      </c>
      <c r="J55" s="34">
        <v>17488.78</v>
      </c>
      <c r="K55" s="35">
        <f>I55-J55</f>
        <v>0</v>
      </c>
      <c r="L55" s="93"/>
      <c r="M55" s="188"/>
      <c r="N55" s="189"/>
      <c r="O55" s="25">
        <f t="shared" si="25"/>
        <v>0</v>
      </c>
      <c r="P55" s="26">
        <f t="shared" si="2"/>
        <v>100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6">J57+J58</f>
        <v>0</v>
      </c>
      <c r="K56" s="17">
        <f t="shared" si="26"/>
        <v>0</v>
      </c>
      <c r="L56" s="42"/>
      <c r="M56" s="186"/>
      <c r="N56" s="187"/>
      <c r="O56" s="20">
        <f>I56-J56-K56</f>
        <v>0</v>
      </c>
      <c r="P56" s="21" t="e">
        <f t="shared" si="2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7">I57-J57-K57</f>
        <v>0</v>
      </c>
      <c r="P57" s="26" t="e">
        <f t="shared" si="2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7"/>
        <v>0</v>
      </c>
      <c r="P58" s="26" t="e">
        <f t="shared" si="2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8">K60</f>
        <v>0</v>
      </c>
      <c r="L59" s="17" t="e">
        <f t="shared" si="28"/>
        <v>#REF!</v>
      </c>
      <c r="M59" s="17">
        <f t="shared" si="28"/>
        <v>0</v>
      </c>
      <c r="N59" s="17">
        <f t="shared" si="28"/>
        <v>0</v>
      </c>
      <c r="O59" s="20">
        <f>I59-J59-K59</f>
        <v>0</v>
      </c>
      <c r="P59" s="21" t="e">
        <f t="shared" si="2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2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I64+I65+I66+I67+I62</f>
        <v>220815</v>
      </c>
      <c r="J61" s="17">
        <f>J64+J65+J66+J67+J62</f>
        <v>220815</v>
      </c>
      <c r="K61" s="17">
        <f>K64+K65+K66+K67+K62</f>
        <v>0</v>
      </c>
      <c r="L61" s="17" t="e">
        <f>L64+L65+#REF!+L66+L67+L62</f>
        <v>#REF!</v>
      </c>
      <c r="M61" s="17" t="e">
        <f>M64+M65+#REF!+M66+M67+M62</f>
        <v>#REF!</v>
      </c>
      <c r="N61" s="17" t="e">
        <f>N64+N65+#REF!+N66+N67+N62</f>
        <v>#REF!</v>
      </c>
      <c r="O61" s="17">
        <f>O64+O65+O66+O67+O62</f>
        <v>0</v>
      </c>
      <c r="P61" s="21">
        <f>J61/I61*100</f>
        <v>100</v>
      </c>
      <c r="Q61" s="307"/>
      <c r="R61" s="308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29796</v>
      </c>
      <c r="J62" s="44">
        <f>J63</f>
        <v>29796</v>
      </c>
      <c r="K62" s="33">
        <f>K63</f>
        <v>0</v>
      </c>
      <c r="L62" s="92"/>
      <c r="M62" s="184"/>
      <c r="N62" s="185"/>
      <c r="O62" s="30">
        <f t="shared" ref="O62:O65" si="29">I62-J62-K62</f>
        <v>0</v>
      </c>
      <c r="P62" s="31">
        <f t="shared" ref="P62:P67" si="30">J62/I62*100</f>
        <v>100</v>
      </c>
      <c r="Q62" s="309"/>
      <c r="R62" s="310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29796</v>
      </c>
      <c r="J63" s="23">
        <v>29796</v>
      </c>
      <c r="K63" s="34">
        <f>I63-J63</f>
        <v>0</v>
      </c>
      <c r="L63" s="24"/>
      <c r="M63" s="182"/>
      <c r="N63" s="183"/>
      <c r="O63" s="25">
        <f t="shared" si="29"/>
        <v>0</v>
      </c>
      <c r="P63" s="26">
        <f t="shared" si="30"/>
        <v>100</v>
      </c>
      <c r="Q63" s="389"/>
      <c r="R63" s="390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172367.78</v>
      </c>
      <c r="J64" s="23">
        <v>172367.78</v>
      </c>
      <c r="K64" s="34">
        <f>I64-J64</f>
        <v>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si="29"/>
        <v>0</v>
      </c>
      <c r="P64" s="26">
        <f t="shared" si="30"/>
        <v>100</v>
      </c>
      <c r="Q64" s="309"/>
      <c r="R64" s="310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3986.5</v>
      </c>
      <c r="J65" s="23">
        <v>3986.5</v>
      </c>
      <c r="K65" s="34">
        <f t="shared" ref="K65:K67" si="31">I65-J65</f>
        <v>0</v>
      </c>
      <c r="L65" s="38">
        <v>107900</v>
      </c>
      <c r="M65" s="182"/>
      <c r="N65" s="183"/>
      <c r="O65" s="25">
        <f t="shared" si="29"/>
        <v>0</v>
      </c>
      <c r="P65" s="26">
        <f t="shared" si="30"/>
        <v>100</v>
      </c>
      <c r="Q65" s="309"/>
      <c r="R65" s="31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s="15" customFormat="1" ht="37.5" x14ac:dyDescent="0.25">
      <c r="A66" s="175" t="s">
        <v>109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104</v>
      </c>
      <c r="H66" s="22"/>
      <c r="I66" s="23">
        <v>14664.72</v>
      </c>
      <c r="J66" s="23">
        <v>14664.72</v>
      </c>
      <c r="K66" s="34">
        <f t="shared" si="31"/>
        <v>0</v>
      </c>
      <c r="L66" s="38">
        <v>1178466</v>
      </c>
      <c r="M66" s="182">
        <f>J66-L66</f>
        <v>-1163801.28</v>
      </c>
      <c r="N66" s="183"/>
      <c r="O66" s="25">
        <f>I66-J66-K66</f>
        <v>0</v>
      </c>
      <c r="P66" s="26">
        <v>0</v>
      </c>
      <c r="Q66" s="309"/>
      <c r="R66" s="310"/>
    </row>
    <row r="67" spans="1:50" ht="37.5" x14ac:dyDescent="0.25">
      <c r="A67" s="175" t="s">
        <v>110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105</v>
      </c>
      <c r="H67" s="22"/>
      <c r="I67" s="23">
        <v>0</v>
      </c>
      <c r="J67" s="23">
        <v>0</v>
      </c>
      <c r="K67" s="34">
        <f t="shared" si="31"/>
        <v>0</v>
      </c>
      <c r="L67" s="45" t="e">
        <f>L106</f>
        <v>#REF!</v>
      </c>
      <c r="M67" s="192"/>
      <c r="N67" s="193"/>
      <c r="O67" s="25">
        <f>I67-J67-K67</f>
        <v>0</v>
      </c>
      <c r="P67" s="26" t="e">
        <f t="shared" si="30"/>
        <v>#DIV/0!</v>
      </c>
      <c r="Q67" s="309"/>
      <c r="R67" s="310"/>
    </row>
    <row r="68" spans="1:50" ht="121.5" customHeight="1" x14ac:dyDescent="0.25">
      <c r="A68" s="190" t="s">
        <v>64</v>
      </c>
      <c r="B68" s="41" t="s">
        <v>9</v>
      </c>
      <c r="C68" s="41" t="s">
        <v>12</v>
      </c>
      <c r="D68" s="41" t="s">
        <v>12</v>
      </c>
      <c r="E68" s="41" t="s">
        <v>65</v>
      </c>
      <c r="F68" s="41"/>
      <c r="G68" s="41"/>
      <c r="H68" s="41"/>
      <c r="I68" s="17">
        <f>I70+I69</f>
        <v>20161.89</v>
      </c>
      <c r="J68" s="17">
        <f>J70+J69</f>
        <v>20161</v>
      </c>
      <c r="K68" s="17">
        <f>K70</f>
        <v>0</v>
      </c>
      <c r="L68" s="42"/>
      <c r="M68" s="186"/>
      <c r="N68" s="187"/>
      <c r="O68" s="20">
        <f>I68-J68-K68</f>
        <v>0.88999999999941792</v>
      </c>
      <c r="P68" s="21">
        <f>J68/I68*100</f>
        <v>99.995585731298007</v>
      </c>
      <c r="Q68" s="309"/>
      <c r="R68" s="310"/>
    </row>
    <row r="69" spans="1:50" ht="40.5" customHeight="1" x14ac:dyDescent="0.25">
      <c r="A69" s="175" t="s">
        <v>43</v>
      </c>
      <c r="B69" s="22" t="s">
        <v>9</v>
      </c>
      <c r="C69" s="22" t="s">
        <v>12</v>
      </c>
      <c r="D69" s="22" t="s">
        <v>12</v>
      </c>
      <c r="E69" s="22" t="s">
        <v>66</v>
      </c>
      <c r="F69" s="22" t="s">
        <v>22</v>
      </c>
      <c r="G69" s="22" t="s">
        <v>44</v>
      </c>
      <c r="H69" s="22"/>
      <c r="I69" s="23">
        <v>11368.42</v>
      </c>
      <c r="J69" s="23">
        <v>11368.42</v>
      </c>
      <c r="K69" s="34">
        <f t="shared" ref="K69" si="32">I69-J69</f>
        <v>0</v>
      </c>
      <c r="L69" s="34" t="e">
        <f>#REF!</f>
        <v>#REF!</v>
      </c>
      <c r="M69" s="34" t="e">
        <f>#REF!</f>
        <v>#REF!</v>
      </c>
      <c r="N69" s="34" t="e">
        <f>#REF!</f>
        <v>#REF!</v>
      </c>
      <c r="O69" s="25">
        <f t="shared" ref="O69:O70" si="33">I69-J69-K69</f>
        <v>0</v>
      </c>
      <c r="P69" s="26">
        <f t="shared" ref="P69:P70" si="34">J69/I69*100</f>
        <v>100</v>
      </c>
      <c r="Q69" s="309"/>
      <c r="R69" s="310"/>
    </row>
    <row r="70" spans="1:50" ht="40.5" customHeight="1" x14ac:dyDescent="0.25">
      <c r="A70" s="175" t="s">
        <v>109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104</v>
      </c>
      <c r="H70" s="22"/>
      <c r="I70" s="23">
        <v>8793.4699999999993</v>
      </c>
      <c r="J70" s="23">
        <v>8792.58</v>
      </c>
      <c r="K70" s="34">
        <v>0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si="33"/>
        <v>0.88999999999941792</v>
      </c>
      <c r="P70" s="26">
        <f t="shared" si="34"/>
        <v>99.989878853285447</v>
      </c>
      <c r="Q70" s="309"/>
      <c r="R70" s="310"/>
    </row>
    <row r="71" spans="1:50" ht="25.5" customHeight="1" x14ac:dyDescent="0.25">
      <c r="A71" s="190" t="s">
        <v>194</v>
      </c>
      <c r="B71" s="41" t="s">
        <v>9</v>
      </c>
      <c r="C71" s="41" t="s">
        <v>12</v>
      </c>
      <c r="D71" s="41" t="s">
        <v>14</v>
      </c>
      <c r="E71" s="41" t="s">
        <v>198</v>
      </c>
      <c r="F71" s="16"/>
      <c r="G71" s="41"/>
      <c r="H71" s="41"/>
      <c r="I71" s="17">
        <f>I72</f>
        <v>65789.47</v>
      </c>
      <c r="J71" s="17">
        <f>J72</f>
        <v>62500</v>
      </c>
      <c r="K71" s="17">
        <f>K72</f>
        <v>3289.4700000000012</v>
      </c>
      <c r="L71" s="42"/>
      <c r="M71" s="186"/>
      <c r="N71" s="187"/>
      <c r="O71" s="20">
        <f>I71-J71-K71</f>
        <v>0</v>
      </c>
      <c r="P71" s="21">
        <f>J71/I71*100</f>
        <v>95.000005320000298</v>
      </c>
      <c r="Q71" s="315"/>
      <c r="R71" s="316"/>
    </row>
    <row r="72" spans="1:50" ht="40.5" customHeight="1" x14ac:dyDescent="0.25">
      <c r="A72" s="175" t="s">
        <v>109</v>
      </c>
      <c r="B72" s="22" t="s">
        <v>9</v>
      </c>
      <c r="C72" s="22" t="s">
        <v>12</v>
      </c>
      <c r="D72" s="22" t="s">
        <v>14</v>
      </c>
      <c r="E72" s="22" t="s">
        <v>198</v>
      </c>
      <c r="F72" s="22" t="s">
        <v>22</v>
      </c>
      <c r="G72" s="22" t="s">
        <v>48</v>
      </c>
      <c r="H72" s="22"/>
      <c r="I72" s="23">
        <v>65789.47</v>
      </c>
      <c r="J72" s="23">
        <v>62500</v>
      </c>
      <c r="K72" s="23">
        <f>I72-J72</f>
        <v>3289.4700000000012</v>
      </c>
      <c r="L72" s="34" t="e">
        <f>#REF!</f>
        <v>#REF!</v>
      </c>
      <c r="M72" s="34" t="e">
        <f>#REF!</f>
        <v>#REF!</v>
      </c>
      <c r="N72" s="34" t="e">
        <f>#REF!</f>
        <v>#REF!</v>
      </c>
      <c r="O72" s="25">
        <f t="shared" ref="O72" si="35">I72-J72-K72</f>
        <v>0</v>
      </c>
      <c r="P72" s="26">
        <f t="shared" ref="P72" si="36">J72/I72*100</f>
        <v>95.000005320000298</v>
      </c>
      <c r="Q72" s="315"/>
      <c r="R72" s="316"/>
    </row>
    <row r="73" spans="1:50" s="2" customFormat="1" ht="20.25" customHeight="1" x14ac:dyDescent="0.3">
      <c r="A73" s="333" t="s">
        <v>54</v>
      </c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5"/>
      <c r="Q73" s="340"/>
      <c r="R73" s="340"/>
    </row>
    <row r="74" spans="1:50" ht="19.5" x14ac:dyDescent="0.25">
      <c r="A74" s="173" t="s">
        <v>11</v>
      </c>
      <c r="B74" s="8" t="s">
        <v>9</v>
      </c>
      <c r="C74" s="8" t="s">
        <v>12</v>
      </c>
      <c r="D74" s="8"/>
      <c r="E74" s="8"/>
      <c r="F74" s="8"/>
      <c r="G74" s="8"/>
      <c r="H74" s="8"/>
      <c r="I74" s="9">
        <f t="shared" ref="I74:N74" si="37">I75+I106</f>
        <v>86724623.459999993</v>
      </c>
      <c r="J74" s="9">
        <f t="shared" si="37"/>
        <v>77638454.11999999</v>
      </c>
      <c r="K74" s="9">
        <f t="shared" si="37"/>
        <v>9086169.3399999999</v>
      </c>
      <c r="L74" s="9" t="e">
        <f t="shared" si="37"/>
        <v>#REF!</v>
      </c>
      <c r="M74" s="9" t="e">
        <f t="shared" si="37"/>
        <v>#REF!</v>
      </c>
      <c r="N74" s="9" t="e">
        <f t="shared" si="37"/>
        <v>#REF!</v>
      </c>
      <c r="O74" s="11">
        <f>I74-J74-K74</f>
        <v>0</v>
      </c>
      <c r="P74" s="12">
        <f>J74/I74*100</f>
        <v>89.522964784977347</v>
      </c>
      <c r="Q74" s="331"/>
      <c r="R74" s="331"/>
    </row>
    <row r="75" spans="1:50" s="15" customFormat="1" ht="19.5" x14ac:dyDescent="0.25">
      <c r="A75" s="174" t="s">
        <v>13</v>
      </c>
      <c r="B75" s="13" t="s">
        <v>9</v>
      </c>
      <c r="C75" s="13" t="s">
        <v>12</v>
      </c>
      <c r="D75" s="13" t="s">
        <v>14</v>
      </c>
      <c r="E75" s="13"/>
      <c r="F75" s="13"/>
      <c r="G75" s="13"/>
      <c r="H75" s="13"/>
      <c r="I75" s="157">
        <f>I76+I94+I97+I103+I100</f>
        <v>86341547.459999993</v>
      </c>
      <c r="J75" s="157">
        <f>J76+J94+J97+J103+J100</f>
        <v>77255378.11999999</v>
      </c>
      <c r="K75" s="14">
        <f>K76+K94+K97+K103+K100</f>
        <v>9086169.3399999999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7">
        <f t="shared" ref="I75:O78" si="38">O76</f>
        <v>0</v>
      </c>
      <c r="P75" s="48">
        <f>J75/I75*100</f>
        <v>89.47648078208303</v>
      </c>
      <c r="Q75" s="331"/>
      <c r="R75" s="331"/>
    </row>
    <row r="76" spans="1:50" s="19" customFormat="1" ht="37.5" x14ac:dyDescent="0.25">
      <c r="A76" s="40" t="s">
        <v>15</v>
      </c>
      <c r="B76" s="41" t="s">
        <v>9</v>
      </c>
      <c r="C76" s="41" t="s">
        <v>12</v>
      </c>
      <c r="D76" s="41" t="s">
        <v>14</v>
      </c>
      <c r="E76" s="41" t="s">
        <v>55</v>
      </c>
      <c r="F76" s="41"/>
      <c r="G76" s="41"/>
      <c r="H76" s="41"/>
      <c r="I76" s="17">
        <f>I77</f>
        <v>82811224.890000001</v>
      </c>
      <c r="J76" s="17">
        <f>J77</f>
        <v>74288182.359999999</v>
      </c>
      <c r="K76" s="17">
        <f t="shared" si="38"/>
        <v>8523042.5299999993</v>
      </c>
      <c r="L76" s="17">
        <f t="shared" si="38"/>
        <v>0</v>
      </c>
      <c r="M76" s="17">
        <f t="shared" si="38"/>
        <v>0</v>
      </c>
      <c r="N76" s="17">
        <f t="shared" si="38"/>
        <v>0</v>
      </c>
      <c r="O76" s="17">
        <f t="shared" si="38"/>
        <v>0</v>
      </c>
      <c r="P76" s="21">
        <f t="shared" ref="P76:P105" si="39">J76/I76*100</f>
        <v>89.707865641015033</v>
      </c>
      <c r="Q76" s="346"/>
      <c r="R76" s="346"/>
    </row>
    <row r="77" spans="1:50" s="15" customFormat="1" ht="56.25" x14ac:dyDescent="0.25">
      <c r="A77" s="194" t="s">
        <v>17</v>
      </c>
      <c r="B77" s="27" t="s">
        <v>9</v>
      </c>
      <c r="C77" s="27" t="s">
        <v>12</v>
      </c>
      <c r="D77" s="27" t="s">
        <v>14</v>
      </c>
      <c r="E77" s="27" t="s">
        <v>55</v>
      </c>
      <c r="F77" s="27"/>
      <c r="G77" s="27"/>
      <c r="H77" s="27"/>
      <c r="I77" s="28">
        <f t="shared" si="38"/>
        <v>82811224.890000001</v>
      </c>
      <c r="J77" s="156">
        <f>J78</f>
        <v>74288182.359999999</v>
      </c>
      <c r="K77" s="44">
        <f t="shared" si="38"/>
        <v>8523042.5299999993</v>
      </c>
      <c r="L77" s="24"/>
      <c r="M77" s="184"/>
      <c r="N77" s="185"/>
      <c r="O77" s="30">
        <f t="shared" ref="O77:O108" si="40">I77-J77-K77</f>
        <v>0</v>
      </c>
      <c r="P77" s="31">
        <f t="shared" si="39"/>
        <v>89.707865641015033</v>
      </c>
      <c r="Q77" s="331"/>
      <c r="R77" s="331"/>
      <c r="S77" s="1"/>
      <c r="T77" s="1"/>
      <c r="U77" s="1"/>
      <c r="V77" s="1"/>
      <c r="W77" s="1"/>
      <c r="X77" s="1"/>
      <c r="Y77" s="1"/>
    </row>
    <row r="78" spans="1:50" s="15" customFormat="1" ht="18.75" x14ac:dyDescent="0.25">
      <c r="A78" s="99" t="s">
        <v>19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20</v>
      </c>
      <c r="G78" s="22"/>
      <c r="H78" s="22"/>
      <c r="I78" s="28">
        <f t="shared" si="38"/>
        <v>82811224.890000001</v>
      </c>
      <c r="J78" s="156">
        <f t="shared" si="38"/>
        <v>74288182.359999999</v>
      </c>
      <c r="K78" s="44">
        <f t="shared" si="38"/>
        <v>8523042.5299999993</v>
      </c>
      <c r="L78" s="38"/>
      <c r="M78" s="184"/>
      <c r="N78" s="185"/>
      <c r="O78" s="30">
        <f t="shared" si="40"/>
        <v>0</v>
      </c>
      <c r="P78" s="31">
        <f t="shared" si="39"/>
        <v>89.707865641015033</v>
      </c>
      <c r="Q78" s="331"/>
      <c r="R78" s="331"/>
      <c r="S78" s="1"/>
      <c r="T78" s="1"/>
      <c r="U78" s="1"/>
      <c r="V78" s="1"/>
      <c r="W78" s="1"/>
      <c r="X78" s="1"/>
      <c r="Y78" s="1"/>
    </row>
    <row r="79" spans="1:50" s="2" customFormat="1" ht="56.25" x14ac:dyDescent="0.25">
      <c r="A79" s="99" t="s">
        <v>21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/>
      <c r="H79" s="22"/>
      <c r="I79" s="28">
        <f t="shared" ref="I79:N79" si="41">I80+I90</f>
        <v>82811224.890000001</v>
      </c>
      <c r="J79" s="28">
        <f>J80+J90</f>
        <v>74288182.359999999</v>
      </c>
      <c r="K79" s="33">
        <f t="shared" si="41"/>
        <v>8523042.5299999993</v>
      </c>
      <c r="L79" s="33" t="e">
        <f t="shared" si="41"/>
        <v>#REF!</v>
      </c>
      <c r="M79" s="33" t="e">
        <f t="shared" si="41"/>
        <v>#REF!</v>
      </c>
      <c r="N79" s="33" t="e">
        <f t="shared" si="41"/>
        <v>#REF!</v>
      </c>
      <c r="O79" s="30">
        <f t="shared" si="40"/>
        <v>0</v>
      </c>
      <c r="P79" s="31">
        <f t="shared" si="39"/>
        <v>89.707865641015033</v>
      </c>
      <c r="Q79" s="331"/>
      <c r="R79" s="33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8.75" x14ac:dyDescent="0.25">
      <c r="A80" s="99" t="s">
        <v>23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24</v>
      </c>
      <c r="H80" s="22"/>
      <c r="I80" s="28">
        <f>I81+I88+I87+I85</f>
        <v>79413701.829999998</v>
      </c>
      <c r="J80" s="28">
        <f>J81+J88+J87+J85</f>
        <v>70890659.299999997</v>
      </c>
      <c r="K80" s="33">
        <f>K81+K88+K87+K85</f>
        <v>8523042.5299999993</v>
      </c>
      <c r="L80" s="33" t="e">
        <f>L81+L88+#REF!</f>
        <v>#REF!</v>
      </c>
      <c r="M80" s="33" t="e">
        <f>M81+M88+#REF!</f>
        <v>#REF!</v>
      </c>
      <c r="N80" s="33" t="e">
        <f>N81+N88+#REF!</f>
        <v>#REF!</v>
      </c>
      <c r="O80" s="30">
        <f t="shared" si="40"/>
        <v>0</v>
      </c>
      <c r="P80" s="31">
        <f t="shared" si="39"/>
        <v>89.267541578347291</v>
      </c>
      <c r="Q80" s="331"/>
      <c r="R80" s="331"/>
    </row>
    <row r="81" spans="1:50" ht="18.75" x14ac:dyDescent="0.25">
      <c r="A81" s="99" t="s">
        <v>25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26</v>
      </c>
      <c r="H81" s="22"/>
      <c r="I81" s="28">
        <f>I82+I83+I84</f>
        <v>78472216.609999999</v>
      </c>
      <c r="J81" s="28">
        <f t="shared" ref="J81:K81" si="42">J82+J83+J84</f>
        <v>69949174.079999998</v>
      </c>
      <c r="K81" s="33">
        <f t="shared" si="42"/>
        <v>8523042.5299999993</v>
      </c>
      <c r="L81" s="33" t="e">
        <f>L82+#REF!+L83</f>
        <v>#REF!</v>
      </c>
      <c r="M81" s="33" t="e">
        <f>M82+#REF!+M83</f>
        <v>#REF!</v>
      </c>
      <c r="N81" s="33" t="e">
        <f>N82+#REF!+N83</f>
        <v>#REF!</v>
      </c>
      <c r="O81" s="30">
        <f t="shared" si="40"/>
        <v>0</v>
      </c>
      <c r="P81" s="31">
        <f t="shared" si="39"/>
        <v>89.138776884105653</v>
      </c>
      <c r="Q81" s="331"/>
      <c r="R81" s="331"/>
    </row>
    <row r="82" spans="1:50" ht="18.75" x14ac:dyDescent="0.25">
      <c r="A82" s="99" t="s">
        <v>27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28</v>
      </c>
      <c r="H82" s="22"/>
      <c r="I82" s="23">
        <v>60214502.560000002</v>
      </c>
      <c r="J82" s="23">
        <v>53747108.200000003</v>
      </c>
      <c r="K82" s="23">
        <f>I82-J82</f>
        <v>6467394.3599999994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5">
        <f t="shared" si="40"/>
        <v>0</v>
      </c>
      <c r="P82" s="26">
        <f t="shared" si="39"/>
        <v>89.259407476536666</v>
      </c>
      <c r="Q82" s="331"/>
      <c r="R82" s="331"/>
    </row>
    <row r="83" spans="1:50" ht="18.75" x14ac:dyDescent="0.25">
      <c r="A83" s="175" t="s">
        <v>29</v>
      </c>
      <c r="B83" s="22" t="s">
        <v>9</v>
      </c>
      <c r="C83" s="22" t="s">
        <v>12</v>
      </c>
      <c r="D83" s="22" t="s">
        <v>14</v>
      </c>
      <c r="E83" s="22" t="s">
        <v>55</v>
      </c>
      <c r="F83" s="22" t="s">
        <v>22</v>
      </c>
      <c r="G83" s="22" t="s">
        <v>30</v>
      </c>
      <c r="H83" s="22"/>
      <c r="I83" s="23">
        <v>2200</v>
      </c>
      <c r="J83" s="23">
        <v>2200</v>
      </c>
      <c r="K83" s="23">
        <f t="shared" ref="K83" si="43">I83-J83</f>
        <v>0</v>
      </c>
      <c r="L83" s="23" t="e">
        <f>#REF!+#REF!</f>
        <v>#REF!</v>
      </c>
      <c r="M83" s="23" t="e">
        <f>#REF!+#REF!</f>
        <v>#REF!</v>
      </c>
      <c r="N83" s="23" t="e">
        <f>#REF!+#REF!</f>
        <v>#REF!</v>
      </c>
      <c r="O83" s="25">
        <f t="shared" si="40"/>
        <v>0</v>
      </c>
      <c r="P83" s="26">
        <f t="shared" si="39"/>
        <v>100</v>
      </c>
      <c r="Q83" s="331"/>
      <c r="R83" s="331"/>
    </row>
    <row r="84" spans="1:50" ht="21.75" customHeight="1" x14ac:dyDescent="0.25">
      <c r="A84" s="175" t="s">
        <v>31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32</v>
      </c>
      <c r="H84" s="22"/>
      <c r="I84" s="23">
        <v>18255514.050000001</v>
      </c>
      <c r="J84" s="34">
        <v>16199865.880000001</v>
      </c>
      <c r="K84" s="23">
        <f>I84-J84</f>
        <v>2055648.17</v>
      </c>
      <c r="L84" s="24" t="e">
        <f>#REF!</f>
        <v>#REF!</v>
      </c>
      <c r="M84" s="182"/>
      <c r="N84" s="183"/>
      <c r="O84" s="25">
        <f t="shared" si="40"/>
        <v>0</v>
      </c>
      <c r="P84" s="26">
        <f t="shared" si="39"/>
        <v>88.739576632190207</v>
      </c>
      <c r="Q84" s="343"/>
      <c r="R84" s="343"/>
    </row>
    <row r="85" spans="1:50" ht="21.75" customHeight="1" x14ac:dyDescent="0.25">
      <c r="A85" s="179" t="s">
        <v>33</v>
      </c>
      <c r="B85" s="27" t="s">
        <v>9</v>
      </c>
      <c r="C85" s="27" t="s">
        <v>12</v>
      </c>
      <c r="D85" s="27" t="s">
        <v>14</v>
      </c>
      <c r="E85" s="27" t="s">
        <v>55</v>
      </c>
      <c r="F85" s="27" t="s">
        <v>22</v>
      </c>
      <c r="G85" s="27" t="s">
        <v>34</v>
      </c>
      <c r="H85" s="22"/>
      <c r="I85" s="33">
        <f>I86</f>
        <v>102342.39999999999</v>
      </c>
      <c r="J85" s="44">
        <f>J86</f>
        <v>102342.39999999999</v>
      </c>
      <c r="K85" s="33">
        <f t="shared" ref="K85:K86" si="44">I85-J85</f>
        <v>0</v>
      </c>
      <c r="L85" s="92"/>
      <c r="M85" s="184"/>
      <c r="N85" s="185"/>
      <c r="O85" s="30">
        <f t="shared" si="40"/>
        <v>0</v>
      </c>
      <c r="P85" s="31">
        <f t="shared" si="39"/>
        <v>100</v>
      </c>
      <c r="Q85" s="344"/>
      <c r="R85" s="345"/>
    </row>
    <row r="86" spans="1:50" ht="24" customHeight="1" x14ac:dyDescent="0.25">
      <c r="A86" s="99" t="s">
        <v>43</v>
      </c>
      <c r="B86" s="22" t="s">
        <v>9</v>
      </c>
      <c r="C86" s="22" t="s">
        <v>12</v>
      </c>
      <c r="D86" s="22" t="s">
        <v>14</v>
      </c>
      <c r="E86" s="22" t="s">
        <v>55</v>
      </c>
      <c r="F86" s="22" t="s">
        <v>22</v>
      </c>
      <c r="G86" s="22" t="s">
        <v>44</v>
      </c>
      <c r="H86" s="22"/>
      <c r="I86" s="23">
        <v>102342.39999999999</v>
      </c>
      <c r="J86" s="34">
        <v>102342.39999999999</v>
      </c>
      <c r="K86" s="23">
        <f t="shared" si="44"/>
        <v>0</v>
      </c>
      <c r="L86" s="24"/>
      <c r="M86" s="182"/>
      <c r="N86" s="183"/>
      <c r="O86" s="25">
        <f t="shared" si="40"/>
        <v>0</v>
      </c>
      <c r="P86" s="26">
        <f t="shared" si="39"/>
        <v>100</v>
      </c>
      <c r="Q86" s="344"/>
      <c r="R86" s="345"/>
    </row>
    <row r="87" spans="1:50" ht="42" customHeight="1" x14ac:dyDescent="0.25">
      <c r="A87" s="179" t="s">
        <v>93</v>
      </c>
      <c r="B87" s="27" t="s">
        <v>9</v>
      </c>
      <c r="C87" s="27" t="s">
        <v>12</v>
      </c>
      <c r="D87" s="27" t="s">
        <v>14</v>
      </c>
      <c r="E87" s="27" t="s">
        <v>55</v>
      </c>
      <c r="F87" s="27" t="s">
        <v>22</v>
      </c>
      <c r="G87" s="27" t="s">
        <v>94</v>
      </c>
      <c r="H87" s="27"/>
      <c r="I87" s="33">
        <v>356023.47</v>
      </c>
      <c r="J87" s="44">
        <v>356023.47</v>
      </c>
      <c r="K87" s="28">
        <f>I87-J87</f>
        <v>0</v>
      </c>
      <c r="L87" s="94">
        <v>802458</v>
      </c>
      <c r="M87" s="184">
        <f>L87</f>
        <v>802458</v>
      </c>
      <c r="N87" s="185"/>
      <c r="O87" s="30">
        <f>I87-J87-K87</f>
        <v>0</v>
      </c>
      <c r="P87" s="31">
        <v>0</v>
      </c>
      <c r="Q87" s="344"/>
      <c r="R87" s="345"/>
    </row>
    <row r="88" spans="1:50" ht="18.75" x14ac:dyDescent="0.25">
      <c r="A88" s="179" t="s">
        <v>33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34</v>
      </c>
      <c r="H88" s="27"/>
      <c r="I88" s="33">
        <f>I89</f>
        <v>483119.35</v>
      </c>
      <c r="J88" s="33">
        <f t="shared" ref="J88:O88" si="45">J89</f>
        <v>483119.35</v>
      </c>
      <c r="K88" s="28">
        <f t="shared" si="45"/>
        <v>0</v>
      </c>
      <c r="L88" s="28" t="e">
        <f t="shared" si="45"/>
        <v>#REF!</v>
      </c>
      <c r="M88" s="28" t="e">
        <f t="shared" si="45"/>
        <v>#REF!</v>
      </c>
      <c r="N88" s="28" t="e">
        <f t="shared" si="45"/>
        <v>#REF!</v>
      </c>
      <c r="O88" s="28">
        <f t="shared" si="45"/>
        <v>0</v>
      </c>
      <c r="P88" s="28">
        <f>P89</f>
        <v>100</v>
      </c>
      <c r="Q88" s="331"/>
      <c r="R88" s="331"/>
    </row>
    <row r="89" spans="1:50" ht="18.75" x14ac:dyDescent="0.25">
      <c r="A89" s="99" t="s">
        <v>43</v>
      </c>
      <c r="B89" s="22" t="s">
        <v>9</v>
      </c>
      <c r="C89" s="22" t="s">
        <v>12</v>
      </c>
      <c r="D89" s="22" t="s">
        <v>14</v>
      </c>
      <c r="E89" s="22" t="s">
        <v>55</v>
      </c>
      <c r="F89" s="22" t="s">
        <v>22</v>
      </c>
      <c r="G89" s="22" t="s">
        <v>44</v>
      </c>
      <c r="H89" s="22"/>
      <c r="I89" s="23">
        <v>483119.35</v>
      </c>
      <c r="J89" s="23">
        <v>483119.35</v>
      </c>
      <c r="K89" s="35">
        <f>I89-J89</f>
        <v>0</v>
      </c>
      <c r="L89" s="35" t="e">
        <f>L87+#REF!+#REF!</f>
        <v>#REF!</v>
      </c>
      <c r="M89" s="35" t="e">
        <f>M87+#REF!+#REF!</f>
        <v>#REF!</v>
      </c>
      <c r="N89" s="35" t="e">
        <f>N87+#REF!+#REF!</f>
        <v>#REF!</v>
      </c>
      <c r="O89" s="153">
        <f t="shared" si="40"/>
        <v>0</v>
      </c>
      <c r="P89" s="154">
        <f t="shared" si="39"/>
        <v>100</v>
      </c>
      <c r="Q89" s="331"/>
      <c r="R89" s="331"/>
    </row>
    <row r="90" spans="1:50" s="2" customFormat="1" ht="18.75" x14ac:dyDescent="0.25">
      <c r="A90" s="194" t="s">
        <v>45</v>
      </c>
      <c r="B90" s="27" t="s">
        <v>9</v>
      </c>
      <c r="C90" s="27" t="s">
        <v>12</v>
      </c>
      <c r="D90" s="27" t="s">
        <v>14</v>
      </c>
      <c r="E90" s="27" t="s">
        <v>55</v>
      </c>
      <c r="F90" s="27" t="s">
        <v>22</v>
      </c>
      <c r="G90" s="27" t="s">
        <v>46</v>
      </c>
      <c r="H90" s="27"/>
      <c r="I90" s="33">
        <f>I91+I93+I92</f>
        <v>3397523.06</v>
      </c>
      <c r="J90" s="33">
        <f t="shared" ref="J90:O90" si="46">J91+J93+J92</f>
        <v>3397523.06</v>
      </c>
      <c r="K90" s="33">
        <f t="shared" si="46"/>
        <v>0</v>
      </c>
      <c r="L90" s="33" t="e">
        <f t="shared" si="46"/>
        <v>#REF!</v>
      </c>
      <c r="M90" s="33">
        <f t="shared" si="46"/>
        <v>100</v>
      </c>
      <c r="N90" s="33">
        <f t="shared" si="46"/>
        <v>0</v>
      </c>
      <c r="O90" s="33">
        <f t="shared" si="46"/>
        <v>0</v>
      </c>
      <c r="P90" s="31">
        <f t="shared" si="39"/>
        <v>100</v>
      </c>
      <c r="Q90" s="341"/>
      <c r="R90" s="341"/>
      <c r="S90" s="15"/>
      <c r="T90" s="15"/>
      <c r="U90" s="15"/>
      <c r="V90" s="15"/>
      <c r="W90" s="15"/>
      <c r="X90" s="15"/>
      <c r="Y90" s="1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8.75" x14ac:dyDescent="0.25">
      <c r="A91" s="99" t="s">
        <v>47</v>
      </c>
      <c r="B91" s="22" t="s">
        <v>9</v>
      </c>
      <c r="C91" s="22" t="s">
        <v>12</v>
      </c>
      <c r="D91" s="22" t="s">
        <v>14</v>
      </c>
      <c r="E91" s="22" t="s">
        <v>55</v>
      </c>
      <c r="F91" s="22" t="s">
        <v>22</v>
      </c>
      <c r="G91" s="22" t="s">
        <v>48</v>
      </c>
      <c r="H91" s="22"/>
      <c r="I91" s="23">
        <v>3288546.9</v>
      </c>
      <c r="J91" s="23">
        <v>3288546.9</v>
      </c>
      <c r="K91" s="35">
        <f t="shared" ref="K91:K92" si="47">I91-J91</f>
        <v>0</v>
      </c>
      <c r="L91" s="50" t="e">
        <f>L93+#REF!+#REF!+#REF!+#REF!</f>
        <v>#REF!</v>
      </c>
      <c r="M91" s="176"/>
      <c r="N91" s="177"/>
      <c r="O91" s="153">
        <f t="shared" si="40"/>
        <v>0</v>
      </c>
      <c r="P91" s="154">
        <f t="shared" si="39"/>
        <v>100</v>
      </c>
      <c r="Q91" s="341"/>
      <c r="R91" s="341"/>
    </row>
    <row r="92" spans="1:50" ht="37.5" x14ac:dyDescent="0.25">
      <c r="A92" s="175" t="s">
        <v>109</v>
      </c>
      <c r="B92" s="22" t="s">
        <v>9</v>
      </c>
      <c r="C92" s="22" t="s">
        <v>12</v>
      </c>
      <c r="D92" s="22" t="s">
        <v>14</v>
      </c>
      <c r="E92" s="22" t="s">
        <v>55</v>
      </c>
      <c r="F92" s="22" t="s">
        <v>22</v>
      </c>
      <c r="G92" s="22" t="s">
        <v>104</v>
      </c>
      <c r="H92" s="22"/>
      <c r="I92" s="23">
        <v>108136.16</v>
      </c>
      <c r="J92" s="34">
        <v>108136.16</v>
      </c>
      <c r="K92" s="35">
        <f t="shared" si="47"/>
        <v>0</v>
      </c>
      <c r="L92" s="50" t="e">
        <f>#REF!</f>
        <v>#REF!</v>
      </c>
      <c r="M92" s="176"/>
      <c r="N92" s="177"/>
      <c r="O92" s="153">
        <f t="shared" si="40"/>
        <v>0</v>
      </c>
      <c r="P92" s="154">
        <f t="shared" si="39"/>
        <v>100</v>
      </c>
      <c r="Q92" s="382"/>
      <c r="R92" s="383"/>
    </row>
    <row r="93" spans="1:50" ht="37.5" x14ac:dyDescent="0.25">
      <c r="A93" s="268" t="s">
        <v>110</v>
      </c>
      <c r="B93" s="269" t="s">
        <v>9</v>
      </c>
      <c r="C93" s="22" t="s">
        <v>12</v>
      </c>
      <c r="D93" s="22" t="s">
        <v>14</v>
      </c>
      <c r="E93" s="22" t="s">
        <v>55</v>
      </c>
      <c r="F93" s="22" t="s">
        <v>22</v>
      </c>
      <c r="G93" s="269" t="s">
        <v>105</v>
      </c>
      <c r="H93" s="269"/>
      <c r="I93" s="270">
        <v>840</v>
      </c>
      <c r="J93" s="271">
        <v>840</v>
      </c>
      <c r="K93" s="272">
        <v>0</v>
      </c>
      <c r="L93" s="273">
        <v>0</v>
      </c>
      <c r="M93" s="274">
        <v>100</v>
      </c>
      <c r="N93" s="384"/>
      <c r="O93" s="385"/>
      <c r="P93" s="298"/>
      <c r="Q93" s="387"/>
      <c r="R93" s="387"/>
      <c r="S93" s="276"/>
      <c r="T93" s="276"/>
      <c r="U93" s="276"/>
      <c r="V93" s="276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</row>
    <row r="94" spans="1:50" s="2" customFormat="1" ht="135.75" customHeight="1" x14ac:dyDescent="0.25">
      <c r="A94" s="86" t="s">
        <v>130</v>
      </c>
      <c r="B94" s="41" t="s">
        <v>9</v>
      </c>
      <c r="C94" s="41" t="s">
        <v>12</v>
      </c>
      <c r="D94" s="41" t="s">
        <v>14</v>
      </c>
      <c r="E94" s="41" t="s">
        <v>57</v>
      </c>
      <c r="F94" s="41" t="s">
        <v>22</v>
      </c>
      <c r="G94" s="16"/>
      <c r="H94" s="16"/>
      <c r="I94" s="17">
        <f>I95+I96</f>
        <v>254011.41</v>
      </c>
      <c r="J94" s="17">
        <f t="shared" ref="J94:K94" si="48">J95+J96</f>
        <v>208094.66999999998</v>
      </c>
      <c r="K94" s="17">
        <f t="shared" si="48"/>
        <v>45916.740000000005</v>
      </c>
      <c r="L94" s="42"/>
      <c r="M94" s="186"/>
      <c r="N94" s="187"/>
      <c r="O94" s="20">
        <f t="shared" si="40"/>
        <v>0</v>
      </c>
      <c r="P94" s="21">
        <f t="shared" si="39"/>
        <v>81.923355332738794</v>
      </c>
      <c r="Q94" s="331"/>
      <c r="R94" s="33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s="2" customFormat="1" ht="18.75" x14ac:dyDescent="0.25">
      <c r="A95" s="175" t="s">
        <v>27</v>
      </c>
      <c r="B95" s="43" t="s">
        <v>9</v>
      </c>
      <c r="C95" s="43" t="s">
        <v>12</v>
      </c>
      <c r="D95" s="43" t="s">
        <v>14</v>
      </c>
      <c r="E95" s="43" t="s">
        <v>57</v>
      </c>
      <c r="F95" s="43" t="s">
        <v>22</v>
      </c>
      <c r="G95" s="43" t="s">
        <v>28</v>
      </c>
      <c r="H95" s="43"/>
      <c r="I95" s="23">
        <v>195093.25</v>
      </c>
      <c r="J95" s="34">
        <v>159826.97</v>
      </c>
      <c r="K95" s="35">
        <f t="shared" ref="K95:K96" si="49">I95-J95</f>
        <v>35266.28</v>
      </c>
      <c r="L95" s="93"/>
      <c r="M95" s="188"/>
      <c r="N95" s="189"/>
      <c r="O95" s="25">
        <f t="shared" si="40"/>
        <v>0</v>
      </c>
      <c r="P95" s="26">
        <f t="shared" si="39"/>
        <v>81.923372541079715</v>
      </c>
      <c r="Q95" s="331"/>
      <c r="R95" s="33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15" customFormat="1" ht="18.75" x14ac:dyDescent="0.25">
      <c r="A96" s="99" t="s">
        <v>31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103">
        <v>213</v>
      </c>
      <c r="H96" s="22"/>
      <c r="I96" s="23">
        <v>58918.16</v>
      </c>
      <c r="J96" s="34">
        <v>48267.7</v>
      </c>
      <c r="K96" s="35">
        <f t="shared" si="49"/>
        <v>10650.460000000006</v>
      </c>
      <c r="L96" s="93"/>
      <c r="M96" s="188"/>
      <c r="N96" s="189"/>
      <c r="O96" s="25">
        <f t="shared" si="40"/>
        <v>0</v>
      </c>
      <c r="P96" s="26">
        <f t="shared" si="39"/>
        <v>81.923298351476006</v>
      </c>
      <c r="Q96" s="331"/>
      <c r="R96" s="331"/>
    </row>
    <row r="97" spans="1:50" s="15" customFormat="1" ht="135" customHeight="1" x14ac:dyDescent="0.25">
      <c r="A97" s="86" t="s">
        <v>131</v>
      </c>
      <c r="B97" s="41" t="s">
        <v>9</v>
      </c>
      <c r="C97" s="41" t="s">
        <v>12</v>
      </c>
      <c r="D97" s="41" t="s">
        <v>14</v>
      </c>
      <c r="E97" s="41" t="s">
        <v>57</v>
      </c>
      <c r="F97" s="41" t="s">
        <v>22</v>
      </c>
      <c r="G97" s="16"/>
      <c r="H97" s="16"/>
      <c r="I97" s="17">
        <f>I98+I99</f>
        <v>1432575.3800000001</v>
      </c>
      <c r="J97" s="17">
        <f t="shared" ref="J97:K97" si="50">J98+J99</f>
        <v>1432575.3800000001</v>
      </c>
      <c r="K97" s="17">
        <f t="shared" si="50"/>
        <v>0</v>
      </c>
      <c r="L97" s="42"/>
      <c r="M97" s="186"/>
      <c r="N97" s="187"/>
      <c r="O97" s="20">
        <f t="shared" si="40"/>
        <v>0</v>
      </c>
      <c r="P97" s="21">
        <f t="shared" si="39"/>
        <v>100</v>
      </c>
      <c r="Q97" s="338"/>
      <c r="R97" s="339"/>
    </row>
    <row r="98" spans="1:50" s="15" customFormat="1" ht="18.75" x14ac:dyDescent="0.25">
      <c r="A98" s="175" t="s">
        <v>27</v>
      </c>
      <c r="B98" s="43" t="s">
        <v>9</v>
      </c>
      <c r="C98" s="43" t="s">
        <v>12</v>
      </c>
      <c r="D98" s="43" t="s">
        <v>14</v>
      </c>
      <c r="E98" s="43" t="s">
        <v>57</v>
      </c>
      <c r="F98" s="43" t="s">
        <v>22</v>
      </c>
      <c r="G98" s="43" t="s">
        <v>28</v>
      </c>
      <c r="H98" s="43"/>
      <c r="I98" s="23">
        <v>1100288.31</v>
      </c>
      <c r="J98" s="34">
        <v>1100288.31</v>
      </c>
      <c r="K98" s="35">
        <f>I98-J98</f>
        <v>0</v>
      </c>
      <c r="L98" s="93"/>
      <c r="M98" s="188"/>
      <c r="N98" s="189"/>
      <c r="O98" s="25">
        <f t="shared" si="40"/>
        <v>0</v>
      </c>
      <c r="P98" s="26">
        <f t="shared" si="39"/>
        <v>100</v>
      </c>
      <c r="Q98" s="338"/>
      <c r="R98" s="339"/>
    </row>
    <row r="99" spans="1:50" s="15" customFormat="1" ht="18.75" x14ac:dyDescent="0.25">
      <c r="A99" s="99" t="s">
        <v>31</v>
      </c>
      <c r="B99" s="43" t="s">
        <v>9</v>
      </c>
      <c r="C99" s="43" t="s">
        <v>12</v>
      </c>
      <c r="D99" s="43" t="s">
        <v>14</v>
      </c>
      <c r="E99" s="43" t="s">
        <v>57</v>
      </c>
      <c r="F99" s="43" t="s">
        <v>22</v>
      </c>
      <c r="G99" s="103">
        <v>213</v>
      </c>
      <c r="H99" s="22"/>
      <c r="I99" s="23">
        <v>332287.07</v>
      </c>
      <c r="J99" s="34">
        <v>332287.07</v>
      </c>
      <c r="K99" s="35">
        <f>I99-J99</f>
        <v>0</v>
      </c>
      <c r="L99" s="93"/>
      <c r="M99" s="188"/>
      <c r="N99" s="189"/>
      <c r="O99" s="25">
        <f t="shared" si="40"/>
        <v>0</v>
      </c>
      <c r="P99" s="26">
        <f t="shared" si="39"/>
        <v>100</v>
      </c>
      <c r="Q99" s="338"/>
      <c r="R99" s="339"/>
    </row>
    <row r="100" spans="1:50" s="15" customFormat="1" ht="118.5" hidden="1" customHeight="1" x14ac:dyDescent="0.25">
      <c r="A100" s="86" t="s">
        <v>131</v>
      </c>
      <c r="B100" s="41" t="s">
        <v>9</v>
      </c>
      <c r="C100" s="41" t="s">
        <v>12</v>
      </c>
      <c r="D100" s="41" t="s">
        <v>14</v>
      </c>
      <c r="E100" s="41" t="s">
        <v>152</v>
      </c>
      <c r="F100" s="41" t="s">
        <v>22</v>
      </c>
      <c r="G100" s="16"/>
      <c r="H100" s="16"/>
      <c r="I100" s="17">
        <f>I101+I102</f>
        <v>0</v>
      </c>
      <c r="J100" s="17">
        <f t="shared" ref="J100:K100" si="51">J101+J102</f>
        <v>0</v>
      </c>
      <c r="K100" s="17">
        <f t="shared" si="51"/>
        <v>0</v>
      </c>
      <c r="L100" s="42"/>
      <c r="M100" s="186"/>
      <c r="N100" s="187"/>
      <c r="O100" s="20">
        <f t="shared" si="40"/>
        <v>0</v>
      </c>
      <c r="P100" s="21" t="e">
        <f t="shared" si="39"/>
        <v>#DIV/0!</v>
      </c>
      <c r="Q100" s="338"/>
      <c r="R100" s="339"/>
    </row>
    <row r="101" spans="1:50" s="15" customFormat="1" ht="18.75" hidden="1" x14ac:dyDescent="0.25">
      <c r="A101" s="175" t="s">
        <v>27</v>
      </c>
      <c r="B101" s="43" t="s">
        <v>9</v>
      </c>
      <c r="C101" s="43" t="s">
        <v>12</v>
      </c>
      <c r="D101" s="43" t="s">
        <v>14</v>
      </c>
      <c r="E101" s="43" t="s">
        <v>152</v>
      </c>
      <c r="F101" s="43" t="s">
        <v>22</v>
      </c>
      <c r="G101" s="43" t="s">
        <v>28</v>
      </c>
      <c r="H101" s="43"/>
      <c r="I101" s="121">
        <v>0</v>
      </c>
      <c r="J101" s="122">
        <v>0</v>
      </c>
      <c r="K101" s="35">
        <f>I101-J101</f>
        <v>0</v>
      </c>
      <c r="L101" s="93"/>
      <c r="M101" s="188"/>
      <c r="N101" s="189"/>
      <c r="O101" s="25">
        <f>I101-J101-K101</f>
        <v>0</v>
      </c>
      <c r="P101" s="26" t="e">
        <f t="shared" si="39"/>
        <v>#DIV/0!</v>
      </c>
      <c r="Q101" s="338"/>
      <c r="R101" s="339"/>
    </row>
    <row r="102" spans="1:50" s="15" customFormat="1" ht="18.75" hidden="1" x14ac:dyDescent="0.25">
      <c r="A102" s="99" t="s">
        <v>31</v>
      </c>
      <c r="B102" s="43" t="s">
        <v>9</v>
      </c>
      <c r="C102" s="43" t="s">
        <v>12</v>
      </c>
      <c r="D102" s="43" t="s">
        <v>14</v>
      </c>
      <c r="E102" s="43" t="s">
        <v>152</v>
      </c>
      <c r="F102" s="43" t="s">
        <v>22</v>
      </c>
      <c r="G102" s="103">
        <v>213</v>
      </c>
      <c r="H102" s="22"/>
      <c r="I102" s="121">
        <v>0</v>
      </c>
      <c r="J102" s="122">
        <v>0</v>
      </c>
      <c r="K102" s="35">
        <f t="shared" ref="K102" si="52">I102-J102</f>
        <v>0</v>
      </c>
      <c r="L102" s="93"/>
      <c r="M102" s="188"/>
      <c r="N102" s="189"/>
      <c r="O102" s="25">
        <f t="shared" si="40"/>
        <v>0</v>
      </c>
      <c r="P102" s="26" t="e">
        <f t="shared" si="39"/>
        <v>#DIV/0!</v>
      </c>
      <c r="Q102" s="338"/>
      <c r="R102" s="339"/>
    </row>
    <row r="103" spans="1:50" s="2" customFormat="1" ht="62.25" customHeight="1" x14ac:dyDescent="0.25">
      <c r="A103" s="190" t="s">
        <v>58</v>
      </c>
      <c r="B103" s="41" t="s">
        <v>9</v>
      </c>
      <c r="C103" s="41" t="s">
        <v>12</v>
      </c>
      <c r="D103" s="41" t="s">
        <v>14</v>
      </c>
      <c r="E103" s="41" t="s">
        <v>59</v>
      </c>
      <c r="F103" s="41" t="s">
        <v>22</v>
      </c>
      <c r="G103" s="41"/>
      <c r="H103" s="41"/>
      <c r="I103" s="17">
        <f>I105+I104</f>
        <v>1843735.78</v>
      </c>
      <c r="J103" s="17">
        <f>J105+J104</f>
        <v>1326525.71</v>
      </c>
      <c r="K103" s="17">
        <f>K105+K104</f>
        <v>517210.07000000007</v>
      </c>
      <c r="L103" s="18"/>
      <c r="M103" s="195"/>
      <c r="N103" s="196"/>
      <c r="O103" s="20">
        <f t="shared" si="40"/>
        <v>0</v>
      </c>
      <c r="P103" s="21">
        <f t="shared" si="39"/>
        <v>71.947712052320199</v>
      </c>
      <c r="Q103" s="331"/>
      <c r="R103" s="33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39" customHeight="1" x14ac:dyDescent="0.25">
      <c r="A104" s="175" t="s">
        <v>167</v>
      </c>
      <c r="B104" s="22" t="s">
        <v>9</v>
      </c>
      <c r="C104" s="22" t="s">
        <v>12</v>
      </c>
      <c r="D104" s="22" t="s">
        <v>14</v>
      </c>
      <c r="E104" s="22" t="s">
        <v>59</v>
      </c>
      <c r="F104" s="22" t="s">
        <v>22</v>
      </c>
      <c r="G104" s="22" t="s">
        <v>146</v>
      </c>
      <c r="H104" s="22"/>
      <c r="I104" s="23">
        <v>249335.78</v>
      </c>
      <c r="J104" s="34">
        <v>124909.28</v>
      </c>
      <c r="K104" s="34">
        <f>I104-J104</f>
        <v>124426.5</v>
      </c>
      <c r="L104" s="24"/>
      <c r="M104" s="182"/>
      <c r="N104" s="183"/>
      <c r="O104" s="25">
        <f t="shared" si="40"/>
        <v>0</v>
      </c>
      <c r="P104" s="26">
        <f t="shared" si="39"/>
        <v>50.096813221110907</v>
      </c>
      <c r="Q104" s="331"/>
      <c r="R104" s="331"/>
    </row>
    <row r="105" spans="1:50" ht="18.75" x14ac:dyDescent="0.25">
      <c r="A105" s="99" t="s">
        <v>113</v>
      </c>
      <c r="B105" s="22" t="s">
        <v>9</v>
      </c>
      <c r="C105" s="22" t="s">
        <v>12</v>
      </c>
      <c r="D105" s="22" t="s">
        <v>14</v>
      </c>
      <c r="E105" s="22" t="s">
        <v>59</v>
      </c>
      <c r="F105" s="22" t="s">
        <v>22</v>
      </c>
      <c r="G105" s="22" t="s">
        <v>114</v>
      </c>
      <c r="H105" s="22"/>
      <c r="I105" s="23">
        <f>1632600-38200</f>
        <v>1594400</v>
      </c>
      <c r="J105" s="34">
        <v>1201616.43</v>
      </c>
      <c r="K105" s="34">
        <f>I105-J105</f>
        <v>392783.57000000007</v>
      </c>
      <c r="L105" s="93" t="e">
        <f>#REF!</f>
        <v>#REF!</v>
      </c>
      <c r="M105" s="188"/>
      <c r="N105" s="189"/>
      <c r="O105" s="25">
        <f t="shared" si="40"/>
        <v>0</v>
      </c>
      <c r="P105" s="26">
        <f t="shared" si="39"/>
        <v>75.364803687907681</v>
      </c>
      <c r="Q105" s="331"/>
      <c r="R105" s="331"/>
    </row>
    <row r="106" spans="1:50" s="15" customFormat="1" ht="117.75" customHeight="1" x14ac:dyDescent="0.25">
      <c r="A106" s="190" t="s">
        <v>73</v>
      </c>
      <c r="B106" s="41" t="s">
        <v>9</v>
      </c>
      <c r="C106" s="41" t="s">
        <v>12</v>
      </c>
      <c r="D106" s="41" t="s">
        <v>12</v>
      </c>
      <c r="E106" s="41" t="s">
        <v>74</v>
      </c>
      <c r="F106" s="41"/>
      <c r="G106" s="41"/>
      <c r="H106" s="41"/>
      <c r="I106" s="17">
        <f>I108+I107</f>
        <v>383076</v>
      </c>
      <c r="J106" s="17">
        <f t="shared" ref="J106:K106" si="53">J108+J107</f>
        <v>383076</v>
      </c>
      <c r="K106" s="17">
        <f t="shared" si="53"/>
        <v>0</v>
      </c>
      <c r="L106" s="18" t="e">
        <f>L108</f>
        <v>#REF!</v>
      </c>
      <c r="M106" s="186"/>
      <c r="N106" s="187"/>
      <c r="O106" s="20">
        <f>I106-J106-K106</f>
        <v>0</v>
      </c>
      <c r="P106" s="21">
        <f>J106/I106*100</f>
        <v>100</v>
      </c>
      <c r="Q106" s="331"/>
      <c r="R106" s="331"/>
      <c r="Z106" s="1"/>
      <c r="AA106" s="1"/>
      <c r="AB106" s="1"/>
      <c r="AC106" s="1"/>
      <c r="AD106" s="1"/>
    </row>
    <row r="107" spans="1:50" s="15" customFormat="1" ht="18.75" x14ac:dyDescent="0.25">
      <c r="A107" s="99" t="s">
        <v>43</v>
      </c>
      <c r="B107" s="22" t="s">
        <v>9</v>
      </c>
      <c r="C107" s="22" t="s">
        <v>12</v>
      </c>
      <c r="D107" s="22" t="s">
        <v>12</v>
      </c>
      <c r="E107" s="22" t="s">
        <v>74</v>
      </c>
      <c r="F107" s="22" t="s">
        <v>22</v>
      </c>
      <c r="G107" s="22" t="s">
        <v>44</v>
      </c>
      <c r="H107" s="27"/>
      <c r="I107" s="23">
        <v>216000</v>
      </c>
      <c r="J107" s="23">
        <v>216000</v>
      </c>
      <c r="K107" s="34">
        <f>I107-J107</f>
        <v>0</v>
      </c>
      <c r="L107" s="24"/>
      <c r="M107" s="182"/>
      <c r="N107" s="183"/>
      <c r="O107" s="30">
        <f t="shared" si="40"/>
        <v>0</v>
      </c>
      <c r="P107" s="31">
        <f>J107/I107*100</f>
        <v>100</v>
      </c>
      <c r="Q107" s="338"/>
      <c r="R107" s="339"/>
      <c r="Z107" s="1"/>
      <c r="AA107" s="1"/>
      <c r="AB107" s="1"/>
      <c r="AC107" s="1"/>
      <c r="AD107" s="1"/>
    </row>
    <row r="108" spans="1:50" ht="18.75" x14ac:dyDescent="0.25">
      <c r="A108" s="99" t="s">
        <v>113</v>
      </c>
      <c r="B108" s="22" t="s">
        <v>9</v>
      </c>
      <c r="C108" s="22" t="s">
        <v>12</v>
      </c>
      <c r="D108" s="22" t="s">
        <v>12</v>
      </c>
      <c r="E108" s="22" t="s">
        <v>74</v>
      </c>
      <c r="F108" s="22" t="s">
        <v>22</v>
      </c>
      <c r="G108" s="22" t="s">
        <v>114</v>
      </c>
      <c r="H108" s="22"/>
      <c r="I108" s="23">
        <v>167076</v>
      </c>
      <c r="J108" s="23">
        <v>167076</v>
      </c>
      <c r="K108" s="34">
        <f>I108-J108</f>
        <v>0</v>
      </c>
      <c r="L108" s="24" t="e">
        <f>#REF!</f>
        <v>#REF!</v>
      </c>
      <c r="M108" s="182"/>
      <c r="N108" s="183"/>
      <c r="O108" s="25">
        <f t="shared" si="40"/>
        <v>0</v>
      </c>
      <c r="P108" s="26">
        <f>J108/I108*100</f>
        <v>100</v>
      </c>
      <c r="Q108" s="331"/>
      <c r="R108" s="331"/>
    </row>
    <row r="109" spans="1:50" s="2" customFormat="1" ht="19.5" customHeight="1" x14ac:dyDescent="0.3">
      <c r="A109" s="333" t="s">
        <v>60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5"/>
      <c r="Q109" s="340"/>
      <c r="R109" s="340"/>
    </row>
    <row r="110" spans="1:50" ht="78" x14ac:dyDescent="0.25">
      <c r="A110" s="51" t="s">
        <v>8</v>
      </c>
      <c r="B110" s="52" t="s">
        <v>9</v>
      </c>
      <c r="C110" s="52"/>
      <c r="D110" s="52"/>
      <c r="E110" s="52"/>
      <c r="F110" s="52"/>
      <c r="G110" s="52"/>
      <c r="H110" s="52"/>
      <c r="I110" s="53">
        <f>I111+I125+I132+I138+I135+I143+I147+I150+I145</f>
        <v>781959.98</v>
      </c>
      <c r="J110" s="53">
        <f>J111+J125+J132+J138+J135+J150+J143+J147+J145</f>
        <v>777125.07</v>
      </c>
      <c r="K110" s="53">
        <f>K111+K125+K132+K138+K135+K143+K147+K150+K145</f>
        <v>4834.9099999999935</v>
      </c>
      <c r="L110" s="53" t="e">
        <f t="shared" ref="L110:N110" si="54">L111+L125</f>
        <v>#REF!</v>
      </c>
      <c r="M110" s="53" t="e">
        <f t="shared" si="54"/>
        <v>#REF!</v>
      </c>
      <c r="N110" s="53" t="e">
        <f t="shared" si="54"/>
        <v>#REF!</v>
      </c>
      <c r="O110" s="53">
        <f>I110-J110-K110</f>
        <v>3.9108272176235914E-11</v>
      </c>
      <c r="P110" s="54">
        <f t="shared" ref="P110:P125" si="55">J110/I110*100</f>
        <v>99.381693421190164</v>
      </c>
      <c r="Q110" s="331"/>
      <c r="R110" s="331"/>
    </row>
    <row r="111" spans="1:50" ht="19.5" x14ac:dyDescent="0.25">
      <c r="A111" s="173" t="s">
        <v>11</v>
      </c>
      <c r="B111" s="8" t="s">
        <v>9</v>
      </c>
      <c r="C111" s="8" t="s">
        <v>12</v>
      </c>
      <c r="D111" s="8"/>
      <c r="E111" s="8"/>
      <c r="F111" s="8"/>
      <c r="G111" s="8"/>
      <c r="H111" s="8"/>
      <c r="I111" s="9">
        <f>I112+I116+I119+I122+I114+I152</f>
        <v>537217.12</v>
      </c>
      <c r="J111" s="9">
        <f>J112+J116+J119+J122+J114+J152</f>
        <v>537214.93999999994</v>
      </c>
      <c r="K111" s="9">
        <f>K112+K116+K119+K122+K114+K152</f>
        <v>2.1799999999930151</v>
      </c>
      <c r="L111" s="10" t="e">
        <f>L112+#REF!</f>
        <v>#REF!</v>
      </c>
      <c r="M111" s="197"/>
      <c r="N111" s="198"/>
      <c r="O111" s="11">
        <f>I111-J111-K111</f>
        <v>5.8207660913467407E-11</v>
      </c>
      <c r="P111" s="12">
        <f t="shared" si="55"/>
        <v>99.999594205039472</v>
      </c>
      <c r="Q111" s="331"/>
      <c r="R111" s="331"/>
    </row>
    <row r="112" spans="1:50" ht="120.75" customHeight="1" x14ac:dyDescent="0.25">
      <c r="A112" s="190" t="s">
        <v>61</v>
      </c>
      <c r="B112" s="41" t="s">
        <v>9</v>
      </c>
      <c r="C112" s="41" t="s">
        <v>12</v>
      </c>
      <c r="D112" s="41" t="s">
        <v>14</v>
      </c>
      <c r="E112" s="41" t="s">
        <v>62</v>
      </c>
      <c r="F112" s="41"/>
      <c r="G112" s="41"/>
      <c r="H112" s="41"/>
      <c r="I112" s="17">
        <f>I113</f>
        <v>13261.15</v>
      </c>
      <c r="J112" s="17">
        <f t="shared" ref="J112:L114" si="56">J113</f>
        <v>13261.15</v>
      </c>
      <c r="K112" s="17">
        <f t="shared" si="56"/>
        <v>0</v>
      </c>
      <c r="L112" s="18" t="e">
        <f t="shared" si="56"/>
        <v>#REF!</v>
      </c>
      <c r="M112" s="186"/>
      <c r="N112" s="187"/>
      <c r="O112" s="20">
        <f>I112-J112-K112</f>
        <v>0</v>
      </c>
      <c r="P112" s="21">
        <f t="shared" si="55"/>
        <v>100</v>
      </c>
      <c r="Q112" s="331"/>
      <c r="R112" s="331"/>
      <c r="S112" s="15"/>
    </row>
    <row r="113" spans="1:50" ht="23.25" customHeight="1" x14ac:dyDescent="0.25">
      <c r="A113" s="99" t="s">
        <v>113</v>
      </c>
      <c r="B113" s="22" t="s">
        <v>9</v>
      </c>
      <c r="C113" s="22" t="s">
        <v>12</v>
      </c>
      <c r="D113" s="22" t="s">
        <v>14</v>
      </c>
      <c r="E113" s="43" t="s">
        <v>62</v>
      </c>
      <c r="F113" s="22" t="s">
        <v>63</v>
      </c>
      <c r="G113" s="22" t="s">
        <v>114</v>
      </c>
      <c r="H113" s="22"/>
      <c r="I113" s="23">
        <v>13261.15</v>
      </c>
      <c r="J113" s="34">
        <v>13261.15</v>
      </c>
      <c r="K113" s="34">
        <f>I113-J113</f>
        <v>0</v>
      </c>
      <c r="L113" s="24" t="e">
        <f>#REF!</f>
        <v>#REF!</v>
      </c>
      <c r="M113" s="184"/>
      <c r="N113" s="185"/>
      <c r="O113" s="25">
        <f>I113-K113-J113</f>
        <v>0</v>
      </c>
      <c r="P113" s="26">
        <f t="shared" si="55"/>
        <v>100</v>
      </c>
      <c r="Q113" s="331"/>
      <c r="R113" s="331"/>
      <c r="Z113" s="15"/>
      <c r="AA113" s="15"/>
      <c r="AB113" s="15"/>
      <c r="AC113" s="15"/>
      <c r="AD113" s="15"/>
    </row>
    <row r="114" spans="1:50" ht="106.5" customHeight="1" x14ac:dyDescent="0.25">
      <c r="A114" s="190" t="s">
        <v>141</v>
      </c>
      <c r="B114" s="41" t="s">
        <v>9</v>
      </c>
      <c r="C114" s="41" t="s">
        <v>12</v>
      </c>
      <c r="D114" s="41" t="s">
        <v>14</v>
      </c>
      <c r="E114" s="41" t="s">
        <v>136</v>
      </c>
      <c r="F114" s="41"/>
      <c r="G114" s="41"/>
      <c r="H114" s="41"/>
      <c r="I114" s="17">
        <f>I115</f>
        <v>355955.97</v>
      </c>
      <c r="J114" s="17">
        <f t="shared" si="56"/>
        <v>355953.79</v>
      </c>
      <c r="K114" s="17">
        <f t="shared" si="56"/>
        <v>2.1799999999930151</v>
      </c>
      <c r="L114" s="18" t="e">
        <f t="shared" si="56"/>
        <v>#REF!</v>
      </c>
      <c r="M114" s="186"/>
      <c r="N114" s="187"/>
      <c r="O114" s="20">
        <f>I114-J114-K114</f>
        <v>0</v>
      </c>
      <c r="P114" s="21">
        <f t="shared" si="55"/>
        <v>99.999387564703582</v>
      </c>
      <c r="Q114" s="331"/>
      <c r="R114" s="331"/>
      <c r="Z114" s="15"/>
      <c r="AA114" s="15"/>
      <c r="AB114" s="15"/>
      <c r="AC114" s="15"/>
      <c r="AD114" s="15"/>
    </row>
    <row r="115" spans="1:50" ht="23.25" customHeight="1" x14ac:dyDescent="0.25">
      <c r="A115" s="99" t="s">
        <v>113</v>
      </c>
      <c r="B115" s="22" t="s">
        <v>9</v>
      </c>
      <c r="C115" s="22" t="s">
        <v>12</v>
      </c>
      <c r="D115" s="22" t="s">
        <v>14</v>
      </c>
      <c r="E115" s="43" t="s">
        <v>136</v>
      </c>
      <c r="F115" s="22" t="s">
        <v>63</v>
      </c>
      <c r="G115" s="22" t="s">
        <v>114</v>
      </c>
      <c r="H115" s="22"/>
      <c r="I115" s="23">
        <v>355955.97</v>
      </c>
      <c r="J115" s="34">
        <v>355953.79</v>
      </c>
      <c r="K115" s="34">
        <f>I115-J115</f>
        <v>2.1799999999930151</v>
      </c>
      <c r="L115" s="24" t="e">
        <f>#REF!</f>
        <v>#REF!</v>
      </c>
      <c r="M115" s="184"/>
      <c r="N115" s="185"/>
      <c r="O115" s="25">
        <f>I115-K115-J115</f>
        <v>0</v>
      </c>
      <c r="P115" s="26">
        <f t="shared" si="55"/>
        <v>99.999387564703582</v>
      </c>
      <c r="Q115" s="331"/>
      <c r="R115" s="331"/>
      <c r="Z115" s="15"/>
      <c r="AA115" s="15"/>
      <c r="AB115" s="15"/>
      <c r="AC115" s="15"/>
      <c r="AD115" s="15"/>
    </row>
    <row r="116" spans="1:50" s="2" customFormat="1" ht="80.25" customHeight="1" x14ac:dyDescent="0.25">
      <c r="A116" s="190" t="s">
        <v>117</v>
      </c>
      <c r="B116" s="41" t="s">
        <v>9</v>
      </c>
      <c r="C116" s="41" t="s">
        <v>12</v>
      </c>
      <c r="D116" s="41" t="s">
        <v>12</v>
      </c>
      <c r="E116" s="41" t="s">
        <v>90</v>
      </c>
      <c r="F116" s="41"/>
      <c r="G116" s="16"/>
      <c r="H116" s="16"/>
      <c r="I116" s="17">
        <f>I117+I118</f>
        <v>65000</v>
      </c>
      <c r="J116" s="17">
        <f t="shared" ref="J116:K116" si="57">J117+J118</f>
        <v>65000</v>
      </c>
      <c r="K116" s="17">
        <f t="shared" si="57"/>
        <v>0</v>
      </c>
      <c r="L116" s="69"/>
      <c r="M116" s="186"/>
      <c r="N116" s="187"/>
      <c r="O116" s="20">
        <v>0</v>
      </c>
      <c r="P116" s="21">
        <f t="shared" si="55"/>
        <v>100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39.75" customHeight="1" x14ac:dyDescent="0.25">
      <c r="A117" s="175" t="s">
        <v>109</v>
      </c>
      <c r="B117" s="22" t="s">
        <v>9</v>
      </c>
      <c r="C117" s="22" t="s">
        <v>12</v>
      </c>
      <c r="D117" s="22" t="s">
        <v>12</v>
      </c>
      <c r="E117" s="43" t="s">
        <v>90</v>
      </c>
      <c r="F117" s="22" t="s">
        <v>63</v>
      </c>
      <c r="G117" s="22" t="s">
        <v>104</v>
      </c>
      <c r="H117" s="22"/>
      <c r="I117" s="23">
        <v>26576</v>
      </c>
      <c r="J117" s="34">
        <v>26576</v>
      </c>
      <c r="K117" s="35">
        <f>I117-J117</f>
        <v>0</v>
      </c>
      <c r="L117" s="57"/>
      <c r="M117" s="188"/>
      <c r="N117" s="189"/>
      <c r="O117" s="25">
        <f>O118</f>
        <v>0</v>
      </c>
      <c r="P117" s="26">
        <f t="shared" si="55"/>
        <v>100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40.5" customHeight="1" x14ac:dyDescent="0.25">
      <c r="A118" s="175" t="s">
        <v>110</v>
      </c>
      <c r="B118" s="22" t="s">
        <v>9</v>
      </c>
      <c r="C118" s="22" t="s">
        <v>12</v>
      </c>
      <c r="D118" s="22" t="s">
        <v>12</v>
      </c>
      <c r="E118" s="43" t="s">
        <v>90</v>
      </c>
      <c r="F118" s="22" t="s">
        <v>63</v>
      </c>
      <c r="G118" s="22" t="s">
        <v>105</v>
      </c>
      <c r="H118" s="22"/>
      <c r="I118" s="23">
        <v>38424</v>
      </c>
      <c r="J118" s="34">
        <v>38424</v>
      </c>
      <c r="K118" s="35">
        <f>I118-J118</f>
        <v>0</v>
      </c>
      <c r="L118" s="49"/>
      <c r="M118" s="188"/>
      <c r="N118" s="189"/>
      <c r="O118" s="25">
        <f>I118-J118-K118</f>
        <v>0</v>
      </c>
      <c r="P118" s="26">
        <f t="shared" si="55"/>
        <v>100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91.5" customHeight="1" x14ac:dyDescent="0.25">
      <c r="A119" s="190" t="s">
        <v>118</v>
      </c>
      <c r="B119" s="41" t="s">
        <v>9</v>
      </c>
      <c r="C119" s="41" t="s">
        <v>12</v>
      </c>
      <c r="D119" s="41" t="s">
        <v>12</v>
      </c>
      <c r="E119" s="16" t="s">
        <v>115</v>
      </c>
      <c r="F119" s="41"/>
      <c r="G119" s="16"/>
      <c r="H119" s="16"/>
      <c r="I119" s="17">
        <f>I120+I121</f>
        <v>13000</v>
      </c>
      <c r="J119" s="17">
        <f t="shared" ref="J119:K119" si="58">J120+J121</f>
        <v>13000</v>
      </c>
      <c r="K119" s="17">
        <f t="shared" si="58"/>
        <v>0</v>
      </c>
      <c r="L119" s="69"/>
      <c r="M119" s="186"/>
      <c r="N119" s="187"/>
      <c r="O119" s="20">
        <v>0</v>
      </c>
      <c r="P119" s="21">
        <f t="shared" si="55"/>
        <v>100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39.75" customHeight="1" x14ac:dyDescent="0.25">
      <c r="A120" s="175" t="s">
        <v>109</v>
      </c>
      <c r="B120" s="22" t="s">
        <v>9</v>
      </c>
      <c r="C120" s="22" t="s">
        <v>12</v>
      </c>
      <c r="D120" s="22" t="s">
        <v>12</v>
      </c>
      <c r="E120" s="43" t="s">
        <v>115</v>
      </c>
      <c r="F120" s="22" t="s">
        <v>63</v>
      </c>
      <c r="G120" s="22" t="s">
        <v>104</v>
      </c>
      <c r="H120" s="22"/>
      <c r="I120" s="23">
        <v>7000</v>
      </c>
      <c r="J120" s="34">
        <v>7000</v>
      </c>
      <c r="K120" s="35">
        <f>I120-J120</f>
        <v>0</v>
      </c>
      <c r="L120" s="57"/>
      <c r="M120" s="188"/>
      <c r="N120" s="189"/>
      <c r="O120" s="25">
        <f>O121</f>
        <v>0</v>
      </c>
      <c r="P120" s="26">
        <f t="shared" si="55"/>
        <v>100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40.5" customHeight="1" x14ac:dyDescent="0.25">
      <c r="A121" s="175" t="s">
        <v>110</v>
      </c>
      <c r="B121" s="22" t="s">
        <v>9</v>
      </c>
      <c r="C121" s="22" t="s">
        <v>12</v>
      </c>
      <c r="D121" s="22" t="s">
        <v>12</v>
      </c>
      <c r="E121" s="43" t="s">
        <v>115</v>
      </c>
      <c r="F121" s="22" t="s">
        <v>63</v>
      </c>
      <c r="G121" s="22" t="s">
        <v>105</v>
      </c>
      <c r="H121" s="22"/>
      <c r="I121" s="23">
        <v>6000</v>
      </c>
      <c r="J121" s="34">
        <v>6000</v>
      </c>
      <c r="K121" s="35">
        <f>I121-J121</f>
        <v>0</v>
      </c>
      <c r="L121" s="49"/>
      <c r="M121" s="188"/>
      <c r="N121" s="189"/>
      <c r="O121" s="25">
        <f>I121-J121-K121</f>
        <v>0</v>
      </c>
      <c r="P121" s="26">
        <f t="shared" si="55"/>
        <v>100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88.5" customHeight="1" x14ac:dyDescent="0.25">
      <c r="A122" s="190" t="s">
        <v>119</v>
      </c>
      <c r="B122" s="41" t="s">
        <v>9</v>
      </c>
      <c r="C122" s="41" t="s">
        <v>12</v>
      </c>
      <c r="D122" s="41" t="s">
        <v>85</v>
      </c>
      <c r="E122" s="16" t="s">
        <v>116</v>
      </c>
      <c r="F122" s="41"/>
      <c r="G122" s="16"/>
      <c r="H122" s="16"/>
      <c r="I122" s="17">
        <f>I123+I124</f>
        <v>27000</v>
      </c>
      <c r="J122" s="17">
        <f t="shared" ref="J122:K122" si="59">J123+J124</f>
        <v>27000</v>
      </c>
      <c r="K122" s="17">
        <f t="shared" si="59"/>
        <v>0</v>
      </c>
      <c r="L122" s="69"/>
      <c r="M122" s="186"/>
      <c r="N122" s="187"/>
      <c r="O122" s="20">
        <v>0</v>
      </c>
      <c r="P122" s="21">
        <f t="shared" si="55"/>
        <v>100</v>
      </c>
      <c r="Q122" s="331"/>
      <c r="R122" s="331"/>
      <c r="S122" s="1"/>
      <c r="T122" s="15"/>
      <c r="U122" s="15"/>
      <c r="V122" s="15"/>
      <c r="W122" s="15"/>
      <c r="X122" s="15"/>
      <c r="Y122" s="1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9.75" customHeight="1" x14ac:dyDescent="0.25">
      <c r="A123" s="175" t="s">
        <v>109</v>
      </c>
      <c r="B123" s="22" t="s">
        <v>9</v>
      </c>
      <c r="C123" s="22" t="s">
        <v>12</v>
      </c>
      <c r="D123" s="22" t="s">
        <v>85</v>
      </c>
      <c r="E123" s="43" t="s">
        <v>116</v>
      </c>
      <c r="F123" s="22" t="s">
        <v>63</v>
      </c>
      <c r="G123" s="22" t="s">
        <v>104</v>
      </c>
      <c r="H123" s="22"/>
      <c r="I123" s="23">
        <v>3000</v>
      </c>
      <c r="J123" s="34">
        <v>3000</v>
      </c>
      <c r="K123" s="35">
        <f>I123-J123</f>
        <v>0</v>
      </c>
      <c r="L123" s="57"/>
      <c r="M123" s="188"/>
      <c r="N123" s="189"/>
      <c r="O123" s="25">
        <f>O124</f>
        <v>0</v>
      </c>
      <c r="P123" s="26">
        <f t="shared" si="55"/>
        <v>100</v>
      </c>
      <c r="Q123" s="331"/>
      <c r="R123" s="331"/>
      <c r="S123" s="1"/>
      <c r="T123" s="15"/>
      <c r="U123" s="15"/>
      <c r="V123" s="15"/>
      <c r="W123" s="15"/>
      <c r="X123" s="15"/>
      <c r="Y123" s="1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40.5" customHeight="1" x14ac:dyDescent="0.25">
      <c r="A124" s="175" t="s">
        <v>110</v>
      </c>
      <c r="B124" s="22" t="s">
        <v>9</v>
      </c>
      <c r="C124" s="22" t="s">
        <v>12</v>
      </c>
      <c r="D124" s="22" t="s">
        <v>85</v>
      </c>
      <c r="E124" s="43" t="s">
        <v>116</v>
      </c>
      <c r="F124" s="22" t="s">
        <v>63</v>
      </c>
      <c r="G124" s="22" t="s">
        <v>105</v>
      </c>
      <c r="H124" s="22"/>
      <c r="I124" s="23">
        <v>24000</v>
      </c>
      <c r="J124" s="34">
        <v>24000</v>
      </c>
      <c r="K124" s="35">
        <f>I124-J124</f>
        <v>0</v>
      </c>
      <c r="L124" s="49"/>
      <c r="M124" s="188"/>
      <c r="N124" s="189"/>
      <c r="O124" s="25">
        <f>I124-J124-K124</f>
        <v>0</v>
      </c>
      <c r="P124" s="26">
        <f t="shared" si="55"/>
        <v>100</v>
      </c>
      <c r="Q124" s="331"/>
      <c r="R124" s="331"/>
      <c r="S124" s="1"/>
      <c r="T124" s="15"/>
      <c r="U124" s="15"/>
      <c r="V124" s="15"/>
      <c r="W124" s="15"/>
      <c r="X124" s="15"/>
      <c r="Y124" s="1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59.25" customHeight="1" x14ac:dyDescent="0.25">
      <c r="A125" s="86" t="s">
        <v>67</v>
      </c>
      <c r="B125" s="41" t="s">
        <v>9</v>
      </c>
      <c r="C125" s="41" t="s">
        <v>68</v>
      </c>
      <c r="D125" s="41" t="s">
        <v>69</v>
      </c>
      <c r="E125" s="41" t="s">
        <v>70</v>
      </c>
      <c r="F125" s="41"/>
      <c r="G125" s="41"/>
      <c r="H125" s="41"/>
      <c r="I125" s="17">
        <f>I126+I128+I130+I131+I127+I129</f>
        <v>85000</v>
      </c>
      <c r="J125" s="17">
        <f>J126+J128+J130+J131+J127+J129</f>
        <v>85000</v>
      </c>
      <c r="K125" s="17">
        <f>K126+K128+K130+K131+K127+K129</f>
        <v>0</v>
      </c>
      <c r="L125" s="17" t="e">
        <f>L126+#REF!+#REF!</f>
        <v>#REF!</v>
      </c>
      <c r="M125" s="17" t="e">
        <f>M126+#REF!+#REF!</f>
        <v>#REF!</v>
      </c>
      <c r="N125" s="17" t="e">
        <f>N126+#REF!+#REF!</f>
        <v>#REF!</v>
      </c>
      <c r="O125" s="89">
        <f>I125-J125-K125</f>
        <v>0</v>
      </c>
      <c r="P125" s="21">
        <f t="shared" si="55"/>
        <v>100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18.75" x14ac:dyDescent="0.25">
      <c r="A126" s="175" t="s">
        <v>43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44</v>
      </c>
      <c r="H126" s="22"/>
      <c r="I126" s="23">
        <v>46280</v>
      </c>
      <c r="J126" s="23">
        <v>46280</v>
      </c>
      <c r="K126" s="23">
        <f>I126-J126</f>
        <v>0</v>
      </c>
      <c r="L126" s="93"/>
      <c r="M126" s="188"/>
      <c r="N126" s="189"/>
      <c r="O126" s="25">
        <f>I126-J126-K126</f>
        <v>0</v>
      </c>
      <c r="P126" s="26">
        <f>J126/I126*100</f>
        <v>100</v>
      </c>
      <c r="Q126" s="331"/>
      <c r="R126" s="331"/>
      <c r="S126" s="15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18.75" x14ac:dyDescent="0.25">
      <c r="A127" s="175" t="s">
        <v>123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124</v>
      </c>
      <c r="H127" s="22"/>
      <c r="I127" s="23">
        <v>5700</v>
      </c>
      <c r="J127" s="34">
        <v>5700</v>
      </c>
      <c r="K127" s="23">
        <f t="shared" ref="K127:K131" si="60">I127-J127</f>
        <v>0</v>
      </c>
      <c r="L127" s="93"/>
      <c r="M127" s="188"/>
      <c r="N127" s="189"/>
      <c r="O127" s="25">
        <f t="shared" ref="O127:O140" si="61">I127-J127-K127</f>
        <v>0</v>
      </c>
      <c r="P127" s="26">
        <f>J127/I127*100</f>
        <v>100</v>
      </c>
      <c r="Q127" s="338"/>
      <c r="R127" s="339"/>
      <c r="S127" s="15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37.5" x14ac:dyDescent="0.25">
      <c r="A128" s="175" t="s">
        <v>106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101</v>
      </c>
      <c r="H128" s="22"/>
      <c r="I128" s="23">
        <f>2500+1500</f>
        <v>4000</v>
      </c>
      <c r="J128" s="34">
        <v>4000</v>
      </c>
      <c r="K128" s="23">
        <f t="shared" si="60"/>
        <v>0</v>
      </c>
      <c r="L128" s="93"/>
      <c r="M128" s="188"/>
      <c r="N128" s="189"/>
      <c r="O128" s="25">
        <f t="shared" si="61"/>
        <v>0</v>
      </c>
      <c r="P128" s="26">
        <v>0</v>
      </c>
      <c r="Q128" s="331"/>
      <c r="R128" s="3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x14ac:dyDescent="0.25">
      <c r="A129" s="175" t="s">
        <v>108</v>
      </c>
      <c r="B129" s="22" t="s">
        <v>9</v>
      </c>
      <c r="C129" s="22" t="s">
        <v>68</v>
      </c>
      <c r="D129" s="22" t="s">
        <v>69</v>
      </c>
      <c r="E129" s="22" t="s">
        <v>70</v>
      </c>
      <c r="F129" s="22" t="s">
        <v>63</v>
      </c>
      <c r="G129" s="22" t="s">
        <v>103</v>
      </c>
      <c r="H129" s="22"/>
      <c r="I129" s="23">
        <v>0</v>
      </c>
      <c r="J129" s="34">
        <v>0</v>
      </c>
      <c r="K129" s="23">
        <f t="shared" si="60"/>
        <v>0</v>
      </c>
      <c r="L129" s="93"/>
      <c r="M129" s="188"/>
      <c r="N129" s="189"/>
      <c r="O129" s="25">
        <f t="shared" si="61"/>
        <v>0</v>
      </c>
      <c r="P129" s="26"/>
      <c r="Q129" s="338"/>
      <c r="R129" s="339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37.5" customHeight="1" x14ac:dyDescent="0.25">
      <c r="A130" s="175" t="s">
        <v>109</v>
      </c>
      <c r="B130" s="22" t="s">
        <v>9</v>
      </c>
      <c r="C130" s="22" t="s">
        <v>68</v>
      </c>
      <c r="D130" s="22" t="s">
        <v>69</v>
      </c>
      <c r="E130" s="22" t="s">
        <v>70</v>
      </c>
      <c r="F130" s="22" t="s">
        <v>63</v>
      </c>
      <c r="G130" s="22" t="s">
        <v>104</v>
      </c>
      <c r="H130" s="22"/>
      <c r="I130" s="23">
        <v>1174</v>
      </c>
      <c r="J130" s="34">
        <v>1174</v>
      </c>
      <c r="K130" s="23">
        <f t="shared" si="60"/>
        <v>0</v>
      </c>
      <c r="L130" s="93"/>
      <c r="M130" s="188"/>
      <c r="N130" s="189"/>
      <c r="O130" s="25">
        <f t="shared" si="61"/>
        <v>0</v>
      </c>
      <c r="P130" s="26">
        <v>0</v>
      </c>
      <c r="Q130" s="331"/>
      <c r="R130" s="33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37.5" x14ac:dyDescent="0.25">
      <c r="A131" s="175" t="s">
        <v>110</v>
      </c>
      <c r="B131" s="22" t="s">
        <v>9</v>
      </c>
      <c r="C131" s="22" t="s">
        <v>68</v>
      </c>
      <c r="D131" s="22" t="s">
        <v>69</v>
      </c>
      <c r="E131" s="22" t="s">
        <v>70</v>
      </c>
      <c r="F131" s="22" t="s">
        <v>63</v>
      </c>
      <c r="G131" s="22" t="s">
        <v>105</v>
      </c>
      <c r="H131" s="22"/>
      <c r="I131" s="23">
        <v>27846</v>
      </c>
      <c r="J131" s="34">
        <v>27846</v>
      </c>
      <c r="K131" s="23">
        <f t="shared" si="60"/>
        <v>0</v>
      </c>
      <c r="L131" s="93"/>
      <c r="M131" s="188"/>
      <c r="N131" s="189"/>
      <c r="O131" s="25">
        <f t="shared" si="61"/>
        <v>0</v>
      </c>
      <c r="P131" s="26">
        <f t="shared" ref="P131:P153" si="62">J131/I131*100</f>
        <v>100</v>
      </c>
      <c r="Q131" s="331"/>
      <c r="R131" s="3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82.5" hidden="1" customHeight="1" x14ac:dyDescent="0.25">
      <c r="A132" s="190" t="s">
        <v>125</v>
      </c>
      <c r="B132" s="41" t="s">
        <v>9</v>
      </c>
      <c r="C132" s="41" t="s">
        <v>12</v>
      </c>
      <c r="D132" s="41" t="s">
        <v>12</v>
      </c>
      <c r="E132" s="41" t="s">
        <v>126</v>
      </c>
      <c r="F132" s="41"/>
      <c r="G132" s="16"/>
      <c r="H132" s="16"/>
      <c r="I132" s="17">
        <f>I133+I134</f>
        <v>0</v>
      </c>
      <c r="J132" s="17">
        <f t="shared" ref="J132:K132" si="63">J133+J134</f>
        <v>0</v>
      </c>
      <c r="K132" s="17">
        <f t="shared" si="63"/>
        <v>0</v>
      </c>
      <c r="L132" s="69"/>
      <c r="M132" s="186"/>
      <c r="N132" s="187"/>
      <c r="O132" s="20">
        <f t="shared" si="61"/>
        <v>0</v>
      </c>
      <c r="P132" s="21" t="e">
        <f t="shared" si="62"/>
        <v>#DIV/0!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18.75" hidden="1" x14ac:dyDescent="0.25">
      <c r="A133" s="175" t="s">
        <v>27</v>
      </c>
      <c r="B133" s="22" t="s">
        <v>9</v>
      </c>
      <c r="C133" s="22" t="s">
        <v>12</v>
      </c>
      <c r="D133" s="22" t="s">
        <v>12</v>
      </c>
      <c r="E133" s="43" t="s">
        <v>126</v>
      </c>
      <c r="F133" s="22" t="s">
        <v>63</v>
      </c>
      <c r="G133" s="22" t="s">
        <v>28</v>
      </c>
      <c r="H133" s="22"/>
      <c r="I133" s="121">
        <v>0</v>
      </c>
      <c r="J133" s="122">
        <v>0</v>
      </c>
      <c r="K133" s="35">
        <f>I133-J133</f>
        <v>0</v>
      </c>
      <c r="L133" s="57"/>
      <c r="M133" s="188"/>
      <c r="N133" s="189"/>
      <c r="O133" s="25">
        <f t="shared" si="61"/>
        <v>0</v>
      </c>
      <c r="P133" s="26" t="e">
        <f t="shared" si="62"/>
        <v>#DIV/0!</v>
      </c>
      <c r="Q133" s="325"/>
      <c r="R133" s="326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18.75" hidden="1" x14ac:dyDescent="0.25">
      <c r="A134" s="99" t="s">
        <v>31</v>
      </c>
      <c r="B134" s="22" t="s">
        <v>9</v>
      </c>
      <c r="C134" s="22" t="s">
        <v>12</v>
      </c>
      <c r="D134" s="22" t="s">
        <v>12</v>
      </c>
      <c r="E134" s="43" t="s">
        <v>126</v>
      </c>
      <c r="F134" s="22" t="s">
        <v>63</v>
      </c>
      <c r="G134" s="22" t="s">
        <v>32</v>
      </c>
      <c r="H134" s="22"/>
      <c r="I134" s="121">
        <v>0</v>
      </c>
      <c r="J134" s="122">
        <v>0</v>
      </c>
      <c r="K134" s="35">
        <f>I134-J134</f>
        <v>0</v>
      </c>
      <c r="L134" s="49"/>
      <c r="M134" s="188"/>
      <c r="N134" s="189"/>
      <c r="O134" s="25">
        <f t="shared" si="61"/>
        <v>0</v>
      </c>
      <c r="P134" s="26" t="e">
        <f t="shared" si="62"/>
        <v>#DIV/0!</v>
      </c>
      <c r="Q134" s="323"/>
      <c r="R134" s="32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65.25" customHeight="1" x14ac:dyDescent="0.25">
      <c r="A135" s="199" t="s">
        <v>142</v>
      </c>
      <c r="B135" s="104" t="s">
        <v>9</v>
      </c>
      <c r="C135" s="104" t="s">
        <v>68</v>
      </c>
      <c r="D135" s="104" t="s">
        <v>14</v>
      </c>
      <c r="E135" s="104" t="s">
        <v>137</v>
      </c>
      <c r="F135" s="104"/>
      <c r="G135" s="105"/>
      <c r="H135" s="105"/>
      <c r="I135" s="17">
        <f>I137+I136</f>
        <v>20000</v>
      </c>
      <c r="J135" s="17">
        <f t="shared" ref="J135:N135" si="64">J137+J136</f>
        <v>19289</v>
      </c>
      <c r="K135" s="17">
        <f t="shared" si="64"/>
        <v>711</v>
      </c>
      <c r="L135" s="17">
        <f t="shared" si="64"/>
        <v>0</v>
      </c>
      <c r="M135" s="17">
        <f t="shared" si="64"/>
        <v>0</v>
      </c>
      <c r="N135" s="17">
        <f t="shared" si="64"/>
        <v>0</v>
      </c>
      <c r="O135" s="20">
        <f>I135-J135-K135</f>
        <v>0</v>
      </c>
      <c r="P135" s="21">
        <f t="shared" si="62"/>
        <v>96.445000000000007</v>
      </c>
      <c r="Q135" s="321"/>
      <c r="R135" s="32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49.5" customHeight="1" x14ac:dyDescent="0.25">
      <c r="A136" s="175" t="s">
        <v>47</v>
      </c>
      <c r="B136" s="112" t="s">
        <v>9</v>
      </c>
      <c r="C136" s="112" t="s">
        <v>68</v>
      </c>
      <c r="D136" s="112" t="s">
        <v>14</v>
      </c>
      <c r="E136" s="113" t="s">
        <v>137</v>
      </c>
      <c r="F136" s="112" t="s">
        <v>63</v>
      </c>
      <c r="G136" s="112" t="s">
        <v>48</v>
      </c>
      <c r="H136" s="112"/>
      <c r="I136" s="23">
        <v>8010</v>
      </c>
      <c r="J136" s="34">
        <v>7299</v>
      </c>
      <c r="K136" s="35">
        <f t="shared" ref="K136" si="65">I136-J136</f>
        <v>711</v>
      </c>
      <c r="L136" s="114"/>
      <c r="M136" s="188"/>
      <c r="N136" s="189"/>
      <c r="O136" s="25">
        <f t="shared" ref="O136" si="66">I136-J136-K136</f>
        <v>0</v>
      </c>
      <c r="P136" s="26">
        <f t="shared" ref="P136" si="67">J136/I136*100</f>
        <v>91.123595505617985</v>
      </c>
      <c r="Q136" s="325"/>
      <c r="R136" s="326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49.5" customHeight="1" x14ac:dyDescent="0.25">
      <c r="A137" s="175" t="s">
        <v>109</v>
      </c>
      <c r="B137" s="112" t="s">
        <v>9</v>
      </c>
      <c r="C137" s="112" t="s">
        <v>68</v>
      </c>
      <c r="D137" s="112" t="s">
        <v>14</v>
      </c>
      <c r="E137" s="113" t="s">
        <v>137</v>
      </c>
      <c r="F137" s="112" t="s">
        <v>63</v>
      </c>
      <c r="G137" s="112" t="s">
        <v>104</v>
      </c>
      <c r="H137" s="112"/>
      <c r="I137" s="23">
        <v>11990</v>
      </c>
      <c r="J137" s="34">
        <v>11990</v>
      </c>
      <c r="K137" s="35">
        <f t="shared" ref="K137:K139" si="68">I137-J137</f>
        <v>0</v>
      </c>
      <c r="L137" s="114"/>
      <c r="M137" s="188"/>
      <c r="N137" s="189"/>
      <c r="O137" s="25">
        <f t="shared" si="61"/>
        <v>0</v>
      </c>
      <c r="P137" s="26">
        <f t="shared" si="62"/>
        <v>100</v>
      </c>
      <c r="Q137" s="323"/>
      <c r="R137" s="3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60" hidden="1" customHeight="1" x14ac:dyDescent="0.25">
      <c r="A138" s="199" t="s">
        <v>143</v>
      </c>
      <c r="B138" s="104" t="s">
        <v>9</v>
      </c>
      <c r="C138" s="104" t="s">
        <v>12</v>
      </c>
      <c r="D138" s="104" t="s">
        <v>14</v>
      </c>
      <c r="E138" s="104" t="s">
        <v>138</v>
      </c>
      <c r="F138" s="104"/>
      <c r="G138" s="104"/>
      <c r="H138" s="104"/>
      <c r="I138" s="106">
        <f>I139</f>
        <v>0</v>
      </c>
      <c r="J138" s="106">
        <f t="shared" ref="J138:K138" si="69">J139</f>
        <v>0</v>
      </c>
      <c r="K138" s="106">
        <f t="shared" si="69"/>
        <v>0</v>
      </c>
      <c r="L138" s="115"/>
      <c r="M138" s="195"/>
      <c r="N138" s="196"/>
      <c r="O138" s="20">
        <f>I138-J138-K138</f>
        <v>0</v>
      </c>
      <c r="P138" s="21" t="e">
        <f t="shared" si="62"/>
        <v>#DIV/0!</v>
      </c>
      <c r="Q138" s="321"/>
      <c r="R138" s="32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27.75" hidden="1" customHeight="1" x14ac:dyDescent="0.25">
      <c r="A139" s="99" t="s">
        <v>47</v>
      </c>
      <c r="B139" s="112" t="s">
        <v>9</v>
      </c>
      <c r="C139" s="112" t="s">
        <v>12</v>
      </c>
      <c r="D139" s="112" t="s">
        <v>14</v>
      </c>
      <c r="E139" s="113" t="s">
        <v>138</v>
      </c>
      <c r="F139" s="112" t="s">
        <v>63</v>
      </c>
      <c r="G139" s="112" t="s">
        <v>48</v>
      </c>
      <c r="H139" s="112"/>
      <c r="I139" s="118">
        <v>0</v>
      </c>
      <c r="J139" s="158">
        <v>0</v>
      </c>
      <c r="K139" s="118">
        <f t="shared" si="68"/>
        <v>0</v>
      </c>
      <c r="L139" s="114"/>
      <c r="M139" s="188"/>
      <c r="N139" s="189"/>
      <c r="O139" s="119">
        <f t="shared" si="61"/>
        <v>0</v>
      </c>
      <c r="P139" s="120" t="e">
        <f t="shared" si="62"/>
        <v>#DIV/0!</v>
      </c>
      <c r="Q139" s="323"/>
      <c r="R139" s="32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82.5" hidden="1" customHeight="1" x14ac:dyDescent="0.25">
      <c r="A140" s="190" t="s">
        <v>127</v>
      </c>
      <c r="B140" s="104" t="s">
        <v>9</v>
      </c>
      <c r="C140" s="104" t="s">
        <v>12</v>
      </c>
      <c r="D140" s="104" t="s">
        <v>85</v>
      </c>
      <c r="E140" s="104" t="s">
        <v>86</v>
      </c>
      <c r="F140" s="104"/>
      <c r="G140" s="105"/>
      <c r="H140" s="105"/>
      <c r="I140" s="106">
        <f>I141+I142</f>
        <v>0</v>
      </c>
      <c r="J140" s="106">
        <f>J141+J142</f>
        <v>0</v>
      </c>
      <c r="K140" s="106">
        <f>K141+K142</f>
        <v>0</v>
      </c>
      <c r="L140" s="106">
        <f t="shared" ref="L140:N140" si="70">L141</f>
        <v>0</v>
      </c>
      <c r="M140" s="106">
        <f t="shared" si="70"/>
        <v>0</v>
      </c>
      <c r="N140" s="106">
        <f t="shared" si="70"/>
        <v>0</v>
      </c>
      <c r="O140" s="107">
        <f t="shared" si="61"/>
        <v>0</v>
      </c>
      <c r="P140" s="108" t="e">
        <f t="shared" si="62"/>
        <v>#DIV/0!</v>
      </c>
      <c r="Q140" s="321"/>
      <c r="R140" s="32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" customFormat="1" ht="18.75" hidden="1" x14ac:dyDescent="0.25">
      <c r="A141" s="175" t="s">
        <v>41</v>
      </c>
      <c r="B141" s="22" t="s">
        <v>9</v>
      </c>
      <c r="C141" s="22" t="s">
        <v>12</v>
      </c>
      <c r="D141" s="22" t="s">
        <v>85</v>
      </c>
      <c r="E141" s="22" t="s">
        <v>86</v>
      </c>
      <c r="F141" s="22" t="s">
        <v>63</v>
      </c>
      <c r="G141" s="22" t="s">
        <v>42</v>
      </c>
      <c r="H141" s="22"/>
      <c r="I141" s="121"/>
      <c r="J141" s="121"/>
      <c r="K141" s="23">
        <f>I141-J141</f>
        <v>0</v>
      </c>
      <c r="L141" s="109"/>
      <c r="M141" s="110"/>
      <c r="N141" s="111"/>
      <c r="O141" s="25">
        <f>I141-J141-K141</f>
        <v>0</v>
      </c>
      <c r="P141" s="26" t="e">
        <f t="shared" si="62"/>
        <v>#DIV/0!</v>
      </c>
      <c r="Q141" s="323"/>
      <c r="R141" s="32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" customFormat="1" ht="18.75" hidden="1" x14ac:dyDescent="0.25">
      <c r="A142" s="99" t="s">
        <v>47</v>
      </c>
      <c r="B142" s="22" t="s">
        <v>9</v>
      </c>
      <c r="C142" s="22" t="s">
        <v>12</v>
      </c>
      <c r="D142" s="22" t="s">
        <v>85</v>
      </c>
      <c r="E142" s="22" t="s">
        <v>86</v>
      </c>
      <c r="F142" s="22" t="s">
        <v>63</v>
      </c>
      <c r="G142" s="22" t="s">
        <v>48</v>
      </c>
      <c r="H142" s="22"/>
      <c r="I142" s="121"/>
      <c r="J142" s="121">
        <v>0</v>
      </c>
      <c r="K142" s="23">
        <f>I142-J142</f>
        <v>0</v>
      </c>
      <c r="L142" s="109"/>
      <c r="M142" s="110"/>
      <c r="N142" s="111"/>
      <c r="O142" s="25">
        <f t="shared" ref="O142" si="71">I142-J142-K142</f>
        <v>0</v>
      </c>
      <c r="P142" s="26" t="e">
        <f t="shared" si="62"/>
        <v>#DIV/0!</v>
      </c>
      <c r="Q142" s="317"/>
      <c r="R142" s="31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" customFormat="1" ht="60" hidden="1" customHeight="1" x14ac:dyDescent="0.25">
      <c r="A143" s="40" t="s">
        <v>139</v>
      </c>
      <c r="B143" s="104" t="s">
        <v>9</v>
      </c>
      <c r="C143" s="104" t="s">
        <v>12</v>
      </c>
      <c r="D143" s="104" t="s">
        <v>14</v>
      </c>
      <c r="E143" s="104" t="s">
        <v>135</v>
      </c>
      <c r="F143" s="104"/>
      <c r="G143" s="104"/>
      <c r="H143" s="104"/>
      <c r="I143" s="106">
        <f>I144</f>
        <v>0</v>
      </c>
      <c r="J143" s="106">
        <f t="shared" ref="J143:K143" si="72">J144</f>
        <v>0</v>
      </c>
      <c r="K143" s="106">
        <f t="shared" si="72"/>
        <v>0</v>
      </c>
      <c r="L143" s="115"/>
      <c r="M143" s="195"/>
      <c r="N143" s="196"/>
      <c r="O143" s="20">
        <f>I143-J143-K143</f>
        <v>0</v>
      </c>
      <c r="P143" s="21" t="e">
        <f t="shared" si="62"/>
        <v>#DIV/0!</v>
      </c>
      <c r="Q143" s="321"/>
      <c r="R143" s="3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10.5" hidden="1" customHeight="1" x14ac:dyDescent="0.25">
      <c r="A144" s="99" t="s">
        <v>47</v>
      </c>
      <c r="B144" s="112" t="s">
        <v>9</v>
      </c>
      <c r="C144" s="112" t="s">
        <v>12</v>
      </c>
      <c r="D144" s="112" t="s">
        <v>14</v>
      </c>
      <c r="E144" s="105" t="s">
        <v>144</v>
      </c>
      <c r="F144" s="112" t="s">
        <v>63</v>
      </c>
      <c r="G144" s="112" t="s">
        <v>48</v>
      </c>
      <c r="H144" s="112"/>
      <c r="I144" s="123">
        <v>0</v>
      </c>
      <c r="J144" s="124">
        <v>0</v>
      </c>
      <c r="K144" s="118">
        <f t="shared" ref="K144" si="73">I144-J144</f>
        <v>0</v>
      </c>
      <c r="L144" s="114"/>
      <c r="M144" s="188"/>
      <c r="N144" s="189"/>
      <c r="O144" s="119">
        <f t="shared" ref="O144:O146" si="74">I144-J144-K144</f>
        <v>0</v>
      </c>
      <c r="P144" s="120" t="e">
        <f t="shared" si="62"/>
        <v>#DIV/0!</v>
      </c>
      <c r="Q144" s="323"/>
      <c r="R144" s="32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1.25" customHeight="1" x14ac:dyDescent="0.25">
      <c r="A145" s="190" t="s">
        <v>154</v>
      </c>
      <c r="B145" s="41" t="s">
        <v>9</v>
      </c>
      <c r="C145" s="41" t="s">
        <v>12</v>
      </c>
      <c r="D145" s="41" t="s">
        <v>14</v>
      </c>
      <c r="E145" s="41" t="s">
        <v>155</v>
      </c>
      <c r="F145" s="41"/>
      <c r="G145" s="41"/>
      <c r="H145" s="41"/>
      <c r="I145" s="17">
        <f>I146</f>
        <v>9742.86</v>
      </c>
      <c r="J145" s="55">
        <f>J146</f>
        <v>5621.13</v>
      </c>
      <c r="K145" s="55">
        <f>I145-J145</f>
        <v>4121.7300000000005</v>
      </c>
      <c r="L145" s="18" t="e">
        <f>L146</f>
        <v>#REF!</v>
      </c>
      <c r="M145" s="186"/>
      <c r="N145" s="187"/>
      <c r="O145" s="20">
        <f t="shared" si="74"/>
        <v>0</v>
      </c>
      <c r="P145" s="21">
        <f>J145/I145*100</f>
        <v>57.69486577863173</v>
      </c>
      <c r="Q145" s="331"/>
      <c r="R145" s="331"/>
      <c r="S145" s="15"/>
    </row>
    <row r="146" spans="1:50" ht="18.75" x14ac:dyDescent="0.25">
      <c r="A146" s="99" t="s">
        <v>113</v>
      </c>
      <c r="B146" s="22" t="s">
        <v>9</v>
      </c>
      <c r="C146" s="22" t="s">
        <v>12</v>
      </c>
      <c r="D146" s="22" t="s">
        <v>14</v>
      </c>
      <c r="E146" s="22" t="s">
        <v>155</v>
      </c>
      <c r="F146" s="22" t="s">
        <v>63</v>
      </c>
      <c r="G146" s="22" t="s">
        <v>114</v>
      </c>
      <c r="H146" s="22"/>
      <c r="I146" s="23">
        <v>9742.86</v>
      </c>
      <c r="J146" s="34">
        <v>5621.13</v>
      </c>
      <c r="K146" s="34">
        <f>I146-J146</f>
        <v>4121.7300000000005</v>
      </c>
      <c r="L146" s="24" t="e">
        <f>#REF!</f>
        <v>#REF!</v>
      </c>
      <c r="M146" s="184"/>
      <c r="N146" s="185"/>
      <c r="O146" s="25">
        <f t="shared" si="74"/>
        <v>0</v>
      </c>
      <c r="P146" s="26">
        <f>J146/I146*100</f>
        <v>57.69486577863173</v>
      </c>
      <c r="Q146" s="331"/>
      <c r="R146" s="331"/>
      <c r="Z146" s="15"/>
      <c r="AA146" s="15"/>
      <c r="AB146" s="15"/>
      <c r="AC146" s="15"/>
      <c r="AD146" s="15"/>
    </row>
    <row r="147" spans="1:50" s="2" customFormat="1" ht="60" customHeight="1" x14ac:dyDescent="0.25">
      <c r="A147" s="199" t="s">
        <v>145</v>
      </c>
      <c r="B147" s="104" t="s">
        <v>9</v>
      </c>
      <c r="C147" s="104" t="s">
        <v>12</v>
      </c>
      <c r="D147" s="104" t="s">
        <v>12</v>
      </c>
      <c r="E147" s="104" t="s">
        <v>126</v>
      </c>
      <c r="F147" s="104"/>
      <c r="G147" s="104"/>
      <c r="H147" s="104"/>
      <c r="I147" s="106">
        <f>I148+I149</f>
        <v>130000</v>
      </c>
      <c r="J147" s="106">
        <f>J149+J148</f>
        <v>130000</v>
      </c>
      <c r="K147" s="106">
        <f>K149+K148</f>
        <v>0</v>
      </c>
      <c r="L147" s="115"/>
      <c r="M147" s="195"/>
      <c r="N147" s="196"/>
      <c r="O147" s="20">
        <f>I147-J147-K147</f>
        <v>0</v>
      </c>
      <c r="P147" s="21">
        <f t="shared" si="62"/>
        <v>100</v>
      </c>
      <c r="Q147" s="321"/>
      <c r="R147" s="32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3" customHeight="1" x14ac:dyDescent="0.25">
      <c r="A148" s="194" t="s">
        <v>27</v>
      </c>
      <c r="B148" s="112" t="s">
        <v>9</v>
      </c>
      <c r="C148" s="112" t="s">
        <v>12</v>
      </c>
      <c r="D148" s="112" t="s">
        <v>12</v>
      </c>
      <c r="E148" s="112" t="s">
        <v>126</v>
      </c>
      <c r="F148" s="112" t="s">
        <v>63</v>
      </c>
      <c r="G148" s="112" t="s">
        <v>28</v>
      </c>
      <c r="H148" s="129"/>
      <c r="I148" s="116">
        <v>99846.39</v>
      </c>
      <c r="J148" s="117">
        <v>99846.39</v>
      </c>
      <c r="K148" s="116">
        <f>I148-J148</f>
        <v>0</v>
      </c>
      <c r="L148" s="131"/>
      <c r="M148" s="184"/>
      <c r="N148" s="185"/>
      <c r="O148" s="119">
        <f t="shared" ref="O148:O149" si="75">I148-J148-K148</f>
        <v>0</v>
      </c>
      <c r="P148" s="120">
        <f t="shared" si="62"/>
        <v>100</v>
      </c>
      <c r="Q148" s="325"/>
      <c r="R148" s="326"/>
    </row>
    <row r="149" spans="1:50" s="2" customFormat="1" ht="27.75" customHeight="1" x14ac:dyDescent="0.25">
      <c r="A149" s="175" t="s">
        <v>31</v>
      </c>
      <c r="B149" s="112" t="s">
        <v>9</v>
      </c>
      <c r="C149" s="112" t="s">
        <v>12</v>
      </c>
      <c r="D149" s="112" t="s">
        <v>12</v>
      </c>
      <c r="E149" s="112" t="s">
        <v>126</v>
      </c>
      <c r="F149" s="112" t="s">
        <v>63</v>
      </c>
      <c r="G149" s="112" t="s">
        <v>32</v>
      </c>
      <c r="H149" s="112"/>
      <c r="I149" s="116">
        <v>30153.61</v>
      </c>
      <c r="J149" s="117">
        <v>30153.61</v>
      </c>
      <c r="K149" s="116">
        <f>I149-J149</f>
        <v>0</v>
      </c>
      <c r="L149" s="131"/>
      <c r="M149" s="182"/>
      <c r="N149" s="183"/>
      <c r="O149" s="119">
        <f t="shared" si="75"/>
        <v>0</v>
      </c>
      <c r="P149" s="120">
        <f t="shared" si="62"/>
        <v>100</v>
      </c>
      <c r="Q149" s="323"/>
      <c r="R149" s="3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60" hidden="1" customHeight="1" x14ac:dyDescent="0.25">
      <c r="A150" s="199" t="s">
        <v>148</v>
      </c>
      <c r="B150" s="104" t="s">
        <v>9</v>
      </c>
      <c r="C150" s="104" t="s">
        <v>12</v>
      </c>
      <c r="D150" s="104" t="s">
        <v>85</v>
      </c>
      <c r="E150" s="104" t="s">
        <v>147</v>
      </c>
      <c r="F150" s="104"/>
      <c r="G150" s="104"/>
      <c r="H150" s="104"/>
      <c r="I150" s="106">
        <f>I151</f>
        <v>0</v>
      </c>
      <c r="J150" s="106">
        <f t="shared" ref="J150:K152" si="76">J151</f>
        <v>0</v>
      </c>
      <c r="K150" s="106">
        <f t="shared" si="76"/>
        <v>0</v>
      </c>
      <c r="L150" s="115"/>
      <c r="M150" s="195"/>
      <c r="N150" s="196"/>
      <c r="O150" s="20">
        <f>I150-J150-K150</f>
        <v>0</v>
      </c>
      <c r="P150" s="21" t="e">
        <f t="shared" si="62"/>
        <v>#DIV/0!</v>
      </c>
      <c r="Q150" s="321"/>
      <c r="R150" s="32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" customFormat="1" ht="27.75" hidden="1" customHeight="1" x14ac:dyDescent="0.25">
      <c r="A151" s="99" t="s">
        <v>43</v>
      </c>
      <c r="B151" s="112" t="s">
        <v>9</v>
      </c>
      <c r="C151" s="112" t="s">
        <v>12</v>
      </c>
      <c r="D151" s="112" t="s">
        <v>85</v>
      </c>
      <c r="E151" s="105" t="s">
        <v>147</v>
      </c>
      <c r="F151" s="112" t="s">
        <v>63</v>
      </c>
      <c r="G151" s="112" t="s">
        <v>44</v>
      </c>
      <c r="H151" s="112"/>
      <c r="I151" s="118">
        <v>0</v>
      </c>
      <c r="J151" s="158">
        <v>0</v>
      </c>
      <c r="K151" s="118">
        <f t="shared" ref="K151" si="77">I151-J151</f>
        <v>0</v>
      </c>
      <c r="L151" s="114"/>
      <c r="M151" s="188"/>
      <c r="N151" s="189"/>
      <c r="O151" s="119">
        <f t="shared" ref="O151" si="78">I151-J151-K151</f>
        <v>0</v>
      </c>
      <c r="P151" s="120" t="e">
        <f t="shared" si="62"/>
        <v>#DIV/0!</v>
      </c>
      <c r="Q151" s="323"/>
      <c r="R151" s="32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" customFormat="1" ht="41.25" customHeight="1" x14ac:dyDescent="0.25">
      <c r="A152" s="199" t="s">
        <v>161</v>
      </c>
      <c r="B152" s="104" t="s">
        <v>9</v>
      </c>
      <c r="C152" s="104" t="s">
        <v>12</v>
      </c>
      <c r="D152" s="104" t="s">
        <v>85</v>
      </c>
      <c r="E152" s="104" t="s">
        <v>162</v>
      </c>
      <c r="F152" s="104" t="s">
        <v>63</v>
      </c>
      <c r="G152" s="104" t="s">
        <v>42</v>
      </c>
      <c r="H152" s="104"/>
      <c r="I152" s="106">
        <f>I153</f>
        <v>63000</v>
      </c>
      <c r="J152" s="106">
        <f t="shared" si="76"/>
        <v>63000</v>
      </c>
      <c r="K152" s="106">
        <f t="shared" si="76"/>
        <v>0</v>
      </c>
      <c r="L152" s="115"/>
      <c r="M152" s="195"/>
      <c r="N152" s="196"/>
      <c r="O152" s="20">
        <f>I152-J152-K152</f>
        <v>0</v>
      </c>
      <c r="P152" s="21">
        <f t="shared" si="62"/>
        <v>100</v>
      </c>
      <c r="Q152" s="321"/>
      <c r="R152" s="32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" customFormat="1" ht="27.75" customHeight="1" x14ac:dyDescent="0.25">
      <c r="A153" s="99" t="s">
        <v>43</v>
      </c>
      <c r="B153" s="112" t="s">
        <v>9</v>
      </c>
      <c r="C153" s="112" t="s">
        <v>12</v>
      </c>
      <c r="D153" s="112" t="s">
        <v>85</v>
      </c>
      <c r="E153" s="113" t="s">
        <v>162</v>
      </c>
      <c r="F153" s="112" t="s">
        <v>63</v>
      </c>
      <c r="G153" s="112" t="s">
        <v>42</v>
      </c>
      <c r="H153" s="112"/>
      <c r="I153" s="116">
        <v>63000</v>
      </c>
      <c r="J153" s="117">
        <v>63000</v>
      </c>
      <c r="K153" s="118">
        <f t="shared" ref="K153" si="79">I153-J153</f>
        <v>0</v>
      </c>
      <c r="L153" s="114"/>
      <c r="M153" s="188"/>
      <c r="N153" s="189"/>
      <c r="O153" s="119">
        <f>I153-J153-K153</f>
        <v>0</v>
      </c>
      <c r="P153" s="120">
        <f t="shared" si="62"/>
        <v>100</v>
      </c>
      <c r="Q153" s="323"/>
      <c r="R153" s="32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" customFormat="1" ht="22.5" customHeight="1" x14ac:dyDescent="0.3">
      <c r="A154" s="333" t="s">
        <v>71</v>
      </c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5"/>
      <c r="Q154" s="336"/>
      <c r="R154" s="337"/>
    </row>
    <row r="155" spans="1:50" ht="78" x14ac:dyDescent="0.25">
      <c r="A155" s="51" t="s">
        <v>8</v>
      </c>
      <c r="B155" s="52" t="s">
        <v>9</v>
      </c>
      <c r="C155" s="52"/>
      <c r="D155" s="52"/>
      <c r="E155" s="52"/>
      <c r="F155" s="52"/>
      <c r="G155" s="52"/>
      <c r="H155" s="52"/>
      <c r="I155" s="53">
        <f>I156+I167+I163+I171+I173+I178+I181+I184+I159+I161</f>
        <v>16547937.77</v>
      </c>
      <c r="J155" s="53">
        <f>J156+J167+J163+J173+J178+J171+J181+J184+J159+J161</f>
        <v>14279969.650000002</v>
      </c>
      <c r="K155" s="53">
        <f>K156+K167+K163+K171+K173+K178+K181+K184+K159+K161</f>
        <v>2267968.12</v>
      </c>
      <c r="L155" s="53" t="e">
        <f>L156+L167</f>
        <v>#REF!</v>
      </c>
      <c r="M155" s="53" t="e">
        <f>M156+M167</f>
        <v>#REF!</v>
      </c>
      <c r="N155" s="53" t="e">
        <f>N156+N167</f>
        <v>#REF!</v>
      </c>
      <c r="O155" s="53">
        <f>I155-J155-K155</f>
        <v>0</v>
      </c>
      <c r="P155" s="53">
        <f>(P156+P167)/2</f>
        <v>94.577954542589794</v>
      </c>
      <c r="Q155" s="331"/>
      <c r="R155" s="331"/>
    </row>
    <row r="156" spans="1:50" ht="24" customHeight="1" x14ac:dyDescent="0.25">
      <c r="A156" s="173" t="s">
        <v>11</v>
      </c>
      <c r="B156" s="8" t="s">
        <v>9</v>
      </c>
      <c r="C156" s="8" t="s">
        <v>12</v>
      </c>
      <c r="D156" s="8"/>
      <c r="E156" s="8"/>
      <c r="F156" s="8"/>
      <c r="G156" s="8"/>
      <c r="H156" s="8"/>
      <c r="I156" s="264">
        <f>I157</f>
        <v>248300</v>
      </c>
      <c r="J156" s="9">
        <f t="shared" ref="J156:N156" si="80">J157</f>
        <v>248299.32</v>
      </c>
      <c r="K156" s="9">
        <f t="shared" ref="K156:K160" si="81">I156-J156</f>
        <v>0.67999999999301508</v>
      </c>
      <c r="L156" s="9" t="e">
        <f t="shared" si="80"/>
        <v>#REF!</v>
      </c>
      <c r="M156" s="9">
        <f t="shared" si="80"/>
        <v>0</v>
      </c>
      <c r="N156" s="9">
        <f t="shared" si="80"/>
        <v>0</v>
      </c>
      <c r="O156" s="9">
        <f t="shared" ref="O156:O176" si="82">I156-J156-K156</f>
        <v>0</v>
      </c>
      <c r="P156" s="12">
        <f t="shared" ref="P156:P165" si="83">J156/I156*100</f>
        <v>99.999726137736616</v>
      </c>
      <c r="Q156" s="331"/>
      <c r="R156" s="331"/>
    </row>
    <row r="157" spans="1:50" ht="102.75" customHeight="1" x14ac:dyDescent="0.25">
      <c r="A157" s="190" t="s">
        <v>153</v>
      </c>
      <c r="B157" s="41" t="s">
        <v>9</v>
      </c>
      <c r="C157" s="41" t="s">
        <v>12</v>
      </c>
      <c r="D157" s="41" t="s">
        <v>14</v>
      </c>
      <c r="E157" s="41" t="s">
        <v>72</v>
      </c>
      <c r="F157" s="41"/>
      <c r="G157" s="41"/>
      <c r="H157" s="41"/>
      <c r="I157" s="17">
        <f>I158</f>
        <v>248300</v>
      </c>
      <c r="J157" s="55">
        <f>J158</f>
        <v>248299.32</v>
      </c>
      <c r="K157" s="55">
        <f t="shared" si="81"/>
        <v>0.67999999999301508</v>
      </c>
      <c r="L157" s="18" t="e">
        <f>L158</f>
        <v>#REF!</v>
      </c>
      <c r="M157" s="186"/>
      <c r="N157" s="187"/>
      <c r="O157" s="20">
        <f t="shared" si="82"/>
        <v>0</v>
      </c>
      <c r="P157" s="21">
        <f t="shared" si="83"/>
        <v>99.999726137736616</v>
      </c>
      <c r="Q157" s="331"/>
      <c r="R157" s="331"/>
      <c r="S157" s="15"/>
    </row>
    <row r="158" spans="1:50" ht="18.75" x14ac:dyDescent="0.25">
      <c r="A158" s="99" t="s">
        <v>113</v>
      </c>
      <c r="B158" s="22" t="s">
        <v>9</v>
      </c>
      <c r="C158" s="22" t="s">
        <v>12</v>
      </c>
      <c r="D158" s="22" t="s">
        <v>14</v>
      </c>
      <c r="E158" s="43" t="s">
        <v>72</v>
      </c>
      <c r="F158" s="22" t="s">
        <v>63</v>
      </c>
      <c r="G158" s="22" t="s">
        <v>114</v>
      </c>
      <c r="H158" s="22"/>
      <c r="I158" s="23">
        <v>248300</v>
      </c>
      <c r="J158" s="34">
        <v>248299.32</v>
      </c>
      <c r="K158" s="34">
        <f t="shared" si="81"/>
        <v>0.67999999999301508</v>
      </c>
      <c r="L158" s="24" t="e">
        <f>#REF!</f>
        <v>#REF!</v>
      </c>
      <c r="M158" s="184"/>
      <c r="N158" s="185"/>
      <c r="O158" s="25">
        <f t="shared" si="82"/>
        <v>0</v>
      </c>
      <c r="P158" s="26">
        <f t="shared" si="83"/>
        <v>99.999726137736616</v>
      </c>
      <c r="Q158" s="331"/>
      <c r="R158" s="331"/>
      <c r="Z158" s="15"/>
      <c r="AA158" s="15"/>
      <c r="AB158" s="15"/>
      <c r="AC158" s="15"/>
      <c r="AD158" s="15"/>
    </row>
    <row r="159" spans="1:50" ht="131.25" customHeight="1" x14ac:dyDescent="0.25">
      <c r="A159" s="190" t="s">
        <v>154</v>
      </c>
      <c r="B159" s="41" t="s">
        <v>9</v>
      </c>
      <c r="C159" s="41" t="s">
        <v>12</v>
      </c>
      <c r="D159" s="41" t="s">
        <v>14</v>
      </c>
      <c r="E159" s="41" t="s">
        <v>159</v>
      </c>
      <c r="F159" s="41"/>
      <c r="G159" s="41"/>
      <c r="H159" s="41"/>
      <c r="I159" s="17">
        <f>I160</f>
        <v>477400</v>
      </c>
      <c r="J159" s="55">
        <f>J160</f>
        <v>286955.90000000002</v>
      </c>
      <c r="K159" s="55">
        <f t="shared" si="81"/>
        <v>190444.09999999998</v>
      </c>
      <c r="L159" s="18" t="e">
        <f>L160</f>
        <v>#REF!</v>
      </c>
      <c r="M159" s="186"/>
      <c r="N159" s="187"/>
      <c r="O159" s="20">
        <f t="shared" si="82"/>
        <v>0</v>
      </c>
      <c r="P159" s="21">
        <f t="shared" si="83"/>
        <v>60.108064516129033</v>
      </c>
      <c r="Q159" s="331"/>
      <c r="R159" s="331"/>
      <c r="S159" s="15"/>
    </row>
    <row r="160" spans="1:50" ht="18.75" x14ac:dyDescent="0.25">
      <c r="A160" s="99" t="s">
        <v>113</v>
      </c>
      <c r="B160" s="22" t="s">
        <v>9</v>
      </c>
      <c r="C160" s="22" t="s">
        <v>12</v>
      </c>
      <c r="D160" s="22" t="s">
        <v>14</v>
      </c>
      <c r="E160" s="43" t="s">
        <v>159</v>
      </c>
      <c r="F160" s="22" t="s">
        <v>63</v>
      </c>
      <c r="G160" s="22" t="s">
        <v>114</v>
      </c>
      <c r="H160" s="22"/>
      <c r="I160" s="23">
        <v>477400</v>
      </c>
      <c r="J160" s="34">
        <v>286955.90000000002</v>
      </c>
      <c r="K160" s="34">
        <f t="shared" si="81"/>
        <v>190444.09999999998</v>
      </c>
      <c r="L160" s="24" t="e">
        <f>#REF!</f>
        <v>#REF!</v>
      </c>
      <c r="M160" s="184"/>
      <c r="N160" s="185"/>
      <c r="O160" s="25">
        <f t="shared" si="82"/>
        <v>0</v>
      </c>
      <c r="P160" s="26">
        <f t="shared" si="83"/>
        <v>60.108064516129033</v>
      </c>
      <c r="Q160" s="331"/>
      <c r="R160" s="331"/>
      <c r="Z160" s="15"/>
      <c r="AA160" s="15"/>
      <c r="AB160" s="15"/>
      <c r="AC160" s="15"/>
      <c r="AD160" s="15"/>
    </row>
    <row r="161" spans="1:50" ht="117.75" customHeight="1" x14ac:dyDescent="0.25">
      <c r="A161" s="190" t="s">
        <v>154</v>
      </c>
      <c r="B161" s="41" t="s">
        <v>9</v>
      </c>
      <c r="C161" s="41" t="s">
        <v>12</v>
      </c>
      <c r="D161" s="41" t="s">
        <v>14</v>
      </c>
      <c r="E161" s="41" t="s">
        <v>160</v>
      </c>
      <c r="F161" s="41"/>
      <c r="G161" s="41"/>
      <c r="H161" s="41"/>
      <c r="I161" s="17">
        <f>I162</f>
        <v>4079341.77</v>
      </c>
      <c r="J161" s="55">
        <f>J162</f>
        <v>3073860.45</v>
      </c>
      <c r="K161" s="55">
        <f>K162</f>
        <v>1005481.3199999998</v>
      </c>
      <c r="L161" s="18" t="e">
        <f>L162</f>
        <v>#REF!</v>
      </c>
      <c r="M161" s="186"/>
      <c r="N161" s="187"/>
      <c r="O161" s="20">
        <f t="shared" si="82"/>
        <v>0</v>
      </c>
      <c r="P161" s="21">
        <f t="shared" si="83"/>
        <v>75.351873496002767</v>
      </c>
      <c r="Q161" s="331"/>
      <c r="R161" s="331"/>
      <c r="S161" s="15"/>
    </row>
    <row r="162" spans="1:50" ht="18.75" x14ac:dyDescent="0.25">
      <c r="A162" s="99" t="s">
        <v>113</v>
      </c>
      <c r="B162" s="22" t="s">
        <v>9</v>
      </c>
      <c r="C162" s="22" t="s">
        <v>12</v>
      </c>
      <c r="D162" s="22" t="s">
        <v>14</v>
      </c>
      <c r="E162" s="43" t="s">
        <v>160</v>
      </c>
      <c r="F162" s="22" t="s">
        <v>22</v>
      </c>
      <c r="G162" s="22" t="s">
        <v>114</v>
      </c>
      <c r="H162" s="22"/>
      <c r="I162" s="23">
        <v>4079341.77</v>
      </c>
      <c r="J162" s="34">
        <v>3073860.45</v>
      </c>
      <c r="K162" s="34">
        <f>I162-J162</f>
        <v>1005481.3199999998</v>
      </c>
      <c r="L162" s="24" t="e">
        <f>#REF!</f>
        <v>#REF!</v>
      </c>
      <c r="M162" s="184"/>
      <c r="N162" s="185"/>
      <c r="O162" s="25">
        <f t="shared" si="82"/>
        <v>0</v>
      </c>
      <c r="P162" s="26">
        <f t="shared" si="83"/>
        <v>75.351873496002767</v>
      </c>
      <c r="Q162" s="331"/>
      <c r="R162" s="331"/>
      <c r="Z162" s="15"/>
      <c r="AA162" s="15"/>
      <c r="AB162" s="15"/>
      <c r="AC162" s="15"/>
      <c r="AD162" s="15"/>
    </row>
    <row r="163" spans="1:50" ht="56.25" hidden="1" x14ac:dyDescent="0.25">
      <c r="A163" s="199" t="s">
        <v>143</v>
      </c>
      <c r="B163" s="104" t="s">
        <v>9</v>
      </c>
      <c r="C163" s="104" t="s">
        <v>12</v>
      </c>
      <c r="D163" s="104" t="s">
        <v>14</v>
      </c>
      <c r="E163" s="104" t="s">
        <v>138</v>
      </c>
      <c r="F163" s="104"/>
      <c r="G163" s="104"/>
      <c r="H163" s="104"/>
      <c r="I163" s="106">
        <f>I165+I164+I166</f>
        <v>0</v>
      </c>
      <c r="J163" s="106">
        <f>J165+J164+J166</f>
        <v>0</v>
      </c>
      <c r="K163" s="106">
        <f t="shared" ref="K163" si="84">K165</f>
        <v>0</v>
      </c>
      <c r="L163" s="265"/>
      <c r="M163" s="195"/>
      <c r="N163" s="196"/>
      <c r="O163" s="20">
        <f>I163-J163-K163</f>
        <v>0</v>
      </c>
      <c r="P163" s="21" t="e">
        <f t="shared" si="83"/>
        <v>#DIV/0!</v>
      </c>
      <c r="Q163" s="331"/>
      <c r="R163" s="331"/>
      <c r="Z163" s="15"/>
      <c r="AA163" s="15"/>
      <c r="AB163" s="15"/>
      <c r="AC163" s="15"/>
      <c r="AD163" s="15"/>
    </row>
    <row r="164" spans="1:50" ht="18.75" hidden="1" x14ac:dyDescent="0.25">
      <c r="A164" s="200" t="s">
        <v>43</v>
      </c>
      <c r="B164" s="112" t="s">
        <v>9</v>
      </c>
      <c r="C164" s="112" t="s">
        <v>12</v>
      </c>
      <c r="D164" s="112" t="s">
        <v>14</v>
      </c>
      <c r="E164" s="113" t="s">
        <v>138</v>
      </c>
      <c r="F164" s="112" t="s">
        <v>63</v>
      </c>
      <c r="G164" s="112" t="s">
        <v>44</v>
      </c>
      <c r="H164" s="129"/>
      <c r="I164" s="118">
        <v>0</v>
      </c>
      <c r="J164" s="158">
        <v>0</v>
      </c>
      <c r="K164" s="116"/>
      <c r="L164" s="136"/>
      <c r="M164" s="182"/>
      <c r="N164" s="183"/>
      <c r="O164" s="119"/>
      <c r="P164" s="120"/>
      <c r="Q164" s="331"/>
      <c r="R164" s="331"/>
      <c r="Z164" s="15"/>
      <c r="AA164" s="15"/>
      <c r="AB164" s="15"/>
      <c r="AC164" s="15"/>
      <c r="AD164" s="15"/>
    </row>
    <row r="165" spans="1:50" ht="25.5" hidden="1" customHeight="1" x14ac:dyDescent="0.25">
      <c r="A165" s="99" t="s">
        <v>47</v>
      </c>
      <c r="B165" s="112" t="s">
        <v>9</v>
      </c>
      <c r="C165" s="112" t="s">
        <v>12</v>
      </c>
      <c r="D165" s="112" t="s">
        <v>14</v>
      </c>
      <c r="E165" s="113" t="s">
        <v>138</v>
      </c>
      <c r="F165" s="112" t="s">
        <v>63</v>
      </c>
      <c r="G165" s="112" t="s">
        <v>48</v>
      </c>
      <c r="H165" s="112"/>
      <c r="I165" s="118">
        <v>0</v>
      </c>
      <c r="J165" s="158">
        <v>0</v>
      </c>
      <c r="K165" s="118">
        <f t="shared" ref="K165:K177" si="85">I165-J165</f>
        <v>0</v>
      </c>
      <c r="L165" s="266"/>
      <c r="M165" s="188"/>
      <c r="N165" s="189"/>
      <c r="O165" s="119">
        <f t="shared" ref="O165" si="86">I165-J165-K165</f>
        <v>0</v>
      </c>
      <c r="P165" s="120" t="e">
        <f t="shared" si="83"/>
        <v>#DIV/0!</v>
      </c>
      <c r="Q165" s="331"/>
      <c r="R165" s="331"/>
      <c r="Z165" s="15"/>
      <c r="AA165" s="15"/>
      <c r="AB165" s="15"/>
      <c r="AC165" s="15"/>
      <c r="AD165" s="15"/>
    </row>
    <row r="166" spans="1:50" ht="25.5" hidden="1" customHeight="1" x14ac:dyDescent="0.25">
      <c r="A166" s="175" t="s">
        <v>109</v>
      </c>
      <c r="B166" s="112" t="s">
        <v>9</v>
      </c>
      <c r="C166" s="112" t="s">
        <v>12</v>
      </c>
      <c r="D166" s="112" t="s">
        <v>14</v>
      </c>
      <c r="E166" s="113" t="s">
        <v>138</v>
      </c>
      <c r="F166" s="112" t="s">
        <v>63</v>
      </c>
      <c r="G166" s="112" t="s">
        <v>104</v>
      </c>
      <c r="H166" s="112"/>
      <c r="I166" s="118">
        <v>0</v>
      </c>
      <c r="J166" s="158">
        <v>0</v>
      </c>
      <c r="K166" s="118"/>
      <c r="L166" s="266"/>
      <c r="M166" s="188"/>
      <c r="N166" s="189"/>
      <c r="O166" s="119"/>
      <c r="P166" s="120"/>
      <c r="Q166" s="331"/>
      <c r="R166" s="331"/>
      <c r="Z166" s="15"/>
      <c r="AA166" s="15"/>
      <c r="AB166" s="15"/>
      <c r="AC166" s="15"/>
      <c r="AD166" s="15"/>
    </row>
    <row r="167" spans="1:50" s="47" customFormat="1" ht="18.75" x14ac:dyDescent="0.3">
      <c r="A167" s="58" t="s">
        <v>75</v>
      </c>
      <c r="B167" s="59" t="s">
        <v>9</v>
      </c>
      <c r="C167" s="59" t="s">
        <v>76</v>
      </c>
      <c r="D167" s="59"/>
      <c r="E167" s="59"/>
      <c r="F167" s="59"/>
      <c r="G167" s="59"/>
      <c r="H167" s="59"/>
      <c r="I167" s="61">
        <f t="shared" ref="I167:J171" si="87">I168</f>
        <v>5094884</v>
      </c>
      <c r="J167" s="61">
        <f t="shared" si="87"/>
        <v>4542404.0999999996</v>
      </c>
      <c r="K167" s="61">
        <f t="shared" si="85"/>
        <v>552479.90000000037</v>
      </c>
      <c r="L167" s="61" t="e">
        <f>L168+#REF!</f>
        <v>#REF!</v>
      </c>
      <c r="M167" s="61" t="e">
        <f>M168+#REF!</f>
        <v>#REF!</v>
      </c>
      <c r="N167" s="61" t="e">
        <f>N168+#REF!</f>
        <v>#REF!</v>
      </c>
      <c r="O167" s="61">
        <f t="shared" si="82"/>
        <v>0</v>
      </c>
      <c r="P167" s="61">
        <f t="shared" ref="P167:P168" si="88">J167*100/I167</f>
        <v>89.156182947442957</v>
      </c>
      <c r="Q167" s="331"/>
      <c r="R167" s="331"/>
    </row>
    <row r="168" spans="1:50" ht="18.75" x14ac:dyDescent="0.3">
      <c r="A168" s="62" t="s">
        <v>77</v>
      </c>
      <c r="B168" s="63" t="s">
        <v>9</v>
      </c>
      <c r="C168" s="63" t="s">
        <v>76</v>
      </c>
      <c r="D168" s="63" t="s">
        <v>78</v>
      </c>
      <c r="E168" s="63"/>
      <c r="F168" s="63"/>
      <c r="G168" s="63"/>
      <c r="H168" s="63"/>
      <c r="I168" s="267">
        <f t="shared" si="87"/>
        <v>5094884</v>
      </c>
      <c r="J168" s="267">
        <f t="shared" si="87"/>
        <v>4542404.0999999996</v>
      </c>
      <c r="K168" s="65">
        <f t="shared" si="85"/>
        <v>552479.90000000037</v>
      </c>
      <c r="L168" s="65" t="e">
        <f t="shared" ref="L168:N168" si="89">L169</f>
        <v>#REF!</v>
      </c>
      <c r="M168" s="65">
        <f t="shared" si="89"/>
        <v>0</v>
      </c>
      <c r="N168" s="65">
        <f t="shared" si="89"/>
        <v>0</v>
      </c>
      <c r="O168" s="65">
        <f t="shared" si="82"/>
        <v>0</v>
      </c>
      <c r="P168" s="65">
        <f t="shared" si="88"/>
        <v>89.156182947442957</v>
      </c>
      <c r="Q168" s="331"/>
      <c r="R168" s="331"/>
    </row>
    <row r="169" spans="1:50" ht="135.75" customHeight="1" x14ac:dyDescent="0.25">
      <c r="A169" s="86" t="s">
        <v>79</v>
      </c>
      <c r="B169" s="41" t="s">
        <v>9</v>
      </c>
      <c r="C169" s="41" t="s">
        <v>76</v>
      </c>
      <c r="D169" s="41" t="s">
        <v>78</v>
      </c>
      <c r="E169" s="66">
        <v>7110175110</v>
      </c>
      <c r="F169" s="41"/>
      <c r="G169" s="41"/>
      <c r="H169" s="41"/>
      <c r="I169" s="17">
        <f t="shared" si="87"/>
        <v>5094884</v>
      </c>
      <c r="J169" s="17">
        <f t="shared" si="87"/>
        <v>4542404.0999999996</v>
      </c>
      <c r="K169" s="17">
        <f t="shared" si="85"/>
        <v>552479.90000000037</v>
      </c>
      <c r="L169" s="18" t="e">
        <f>L170</f>
        <v>#REF!</v>
      </c>
      <c r="M169" s="186"/>
      <c r="N169" s="187"/>
      <c r="O169" s="20">
        <f t="shared" si="82"/>
        <v>0</v>
      </c>
      <c r="P169" s="21">
        <f>J169/I169*100</f>
        <v>89.156182947442957</v>
      </c>
      <c r="Q169" s="331"/>
      <c r="R169" s="331"/>
    </row>
    <row r="170" spans="1:50" s="46" customFormat="1" ht="37.5" x14ac:dyDescent="0.25">
      <c r="A170" s="175" t="s">
        <v>93</v>
      </c>
      <c r="B170" s="22" t="s">
        <v>9</v>
      </c>
      <c r="C170" s="22" t="s">
        <v>76</v>
      </c>
      <c r="D170" s="22" t="s">
        <v>78</v>
      </c>
      <c r="E170" s="67">
        <v>7110175100</v>
      </c>
      <c r="F170" s="22" t="s">
        <v>63</v>
      </c>
      <c r="G170" s="22" t="s">
        <v>94</v>
      </c>
      <c r="H170" s="22"/>
      <c r="I170" s="23">
        <f>5202484-107600</f>
        <v>5094884</v>
      </c>
      <c r="J170" s="23">
        <v>4542404.0999999996</v>
      </c>
      <c r="K170" s="23">
        <f t="shared" si="85"/>
        <v>552479.90000000037</v>
      </c>
      <c r="L170" s="24" t="e">
        <f>#REF!</f>
        <v>#REF!</v>
      </c>
      <c r="M170" s="182"/>
      <c r="N170" s="183"/>
      <c r="O170" s="25">
        <f t="shared" si="82"/>
        <v>0</v>
      </c>
      <c r="P170" s="26">
        <f t="shared" ref="P170" si="90">J170/I170*100</f>
        <v>89.156182947442957</v>
      </c>
      <c r="Q170" s="331"/>
      <c r="R170" s="331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62.25" hidden="1" customHeight="1" x14ac:dyDescent="0.25">
      <c r="A171" s="40" t="s">
        <v>139</v>
      </c>
      <c r="B171" s="41" t="s">
        <v>9</v>
      </c>
      <c r="C171" s="41" t="s">
        <v>12</v>
      </c>
      <c r="D171" s="41" t="s">
        <v>14</v>
      </c>
      <c r="E171" s="66" t="s">
        <v>135</v>
      </c>
      <c r="F171" s="41"/>
      <c r="G171" s="41"/>
      <c r="H171" s="41"/>
      <c r="I171" s="17">
        <f t="shared" si="87"/>
        <v>0</v>
      </c>
      <c r="J171" s="17">
        <f t="shared" si="87"/>
        <v>0</v>
      </c>
      <c r="K171" s="17">
        <f t="shared" si="85"/>
        <v>0</v>
      </c>
      <c r="L171" s="18" t="e">
        <f>L172</f>
        <v>#REF!</v>
      </c>
      <c r="M171" s="186"/>
      <c r="N171" s="187"/>
      <c r="O171" s="20">
        <f t="shared" si="82"/>
        <v>0</v>
      </c>
      <c r="P171" s="21" t="e">
        <f>J171/I171*100</f>
        <v>#DIV/0!</v>
      </c>
      <c r="Q171" s="331"/>
      <c r="R171" s="331"/>
    </row>
    <row r="172" spans="1:50" s="46" customFormat="1" ht="18.75" hidden="1" x14ac:dyDescent="0.25">
      <c r="A172" s="99" t="s">
        <v>47</v>
      </c>
      <c r="B172" s="22" t="s">
        <v>9</v>
      </c>
      <c r="C172" s="16" t="s">
        <v>12</v>
      </c>
      <c r="D172" s="16" t="s">
        <v>14</v>
      </c>
      <c r="E172" s="134" t="s">
        <v>135</v>
      </c>
      <c r="F172" s="22" t="s">
        <v>63</v>
      </c>
      <c r="G172" s="22" t="s">
        <v>48</v>
      </c>
      <c r="H172" s="22"/>
      <c r="I172" s="35">
        <v>0</v>
      </c>
      <c r="J172" s="35">
        <v>0</v>
      </c>
      <c r="K172" s="23">
        <f t="shared" si="85"/>
        <v>0</v>
      </c>
      <c r="L172" s="24" t="e">
        <f>#REF!</f>
        <v>#REF!</v>
      </c>
      <c r="M172" s="182"/>
      <c r="N172" s="183"/>
      <c r="O172" s="25">
        <f t="shared" si="82"/>
        <v>0</v>
      </c>
      <c r="P172" s="26" t="e">
        <f t="shared" ref="P172" si="91">J172/I172*100</f>
        <v>#DIV/0!</v>
      </c>
      <c r="Q172" s="331"/>
      <c r="R172" s="331"/>
      <c r="S172" s="1"/>
      <c r="T172" s="1"/>
      <c r="U172" s="1"/>
      <c r="V172" s="1"/>
      <c r="W172" s="1"/>
      <c r="X172" s="1"/>
      <c r="Y172" s="1"/>
      <c r="Z172" s="68"/>
      <c r="AA172" s="68"/>
      <c r="AB172" s="68"/>
      <c r="AC172" s="68"/>
      <c r="AD172" s="68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62.25" hidden="1" customHeight="1" x14ac:dyDescent="0.25">
      <c r="A173" s="199" t="s">
        <v>148</v>
      </c>
      <c r="B173" s="41" t="s">
        <v>9</v>
      </c>
      <c r="C173" s="41" t="s">
        <v>12</v>
      </c>
      <c r="D173" s="41" t="s">
        <v>85</v>
      </c>
      <c r="E173" s="66">
        <v>7010470790</v>
      </c>
      <c r="F173" s="41"/>
      <c r="G173" s="41"/>
      <c r="H173" s="41"/>
      <c r="I173" s="17">
        <f>I176+I174+I175+I177</f>
        <v>0</v>
      </c>
      <c r="J173" s="17">
        <f>J176+J174+J175+J177</f>
        <v>0</v>
      </c>
      <c r="K173" s="17">
        <f t="shared" si="85"/>
        <v>0</v>
      </c>
      <c r="L173" s="18" t="e">
        <f>L176</f>
        <v>#REF!</v>
      </c>
      <c r="M173" s="186"/>
      <c r="N173" s="187"/>
      <c r="O173" s="20">
        <f t="shared" si="82"/>
        <v>0</v>
      </c>
      <c r="P173" s="21" t="e">
        <f>J173/I173*100</f>
        <v>#DIV/0!</v>
      </c>
      <c r="Q173" s="331"/>
      <c r="R173" s="331"/>
    </row>
    <row r="174" spans="1:50" ht="27" hidden="1" customHeight="1" x14ac:dyDescent="0.25">
      <c r="A174" s="200" t="s">
        <v>56</v>
      </c>
      <c r="B174" s="22" t="s">
        <v>9</v>
      </c>
      <c r="C174" s="22" t="s">
        <v>12</v>
      </c>
      <c r="D174" s="22" t="s">
        <v>85</v>
      </c>
      <c r="E174" s="67">
        <v>7010470790</v>
      </c>
      <c r="F174" s="22" t="s">
        <v>63</v>
      </c>
      <c r="G174" s="22" t="s">
        <v>38</v>
      </c>
      <c r="H174" s="22"/>
      <c r="I174" s="23"/>
      <c r="J174" s="23"/>
      <c r="K174" s="23">
        <f>I174-J174</f>
        <v>0</v>
      </c>
      <c r="L174" s="24"/>
      <c r="M174" s="182"/>
      <c r="N174" s="183"/>
      <c r="O174" s="25"/>
      <c r="P174" s="26"/>
      <c r="Q174" s="331"/>
      <c r="R174" s="331"/>
    </row>
    <row r="175" spans="1:50" ht="20.25" hidden="1" customHeight="1" x14ac:dyDescent="0.25">
      <c r="A175" s="200" t="s">
        <v>43</v>
      </c>
      <c r="B175" s="22" t="s">
        <v>9</v>
      </c>
      <c r="C175" s="22" t="s">
        <v>12</v>
      </c>
      <c r="D175" s="22" t="s">
        <v>85</v>
      </c>
      <c r="E175" s="67">
        <v>7010470790</v>
      </c>
      <c r="F175" s="22" t="s">
        <v>63</v>
      </c>
      <c r="G175" s="22" t="s">
        <v>44</v>
      </c>
      <c r="H175" s="22"/>
      <c r="I175" s="23"/>
      <c r="J175" s="23"/>
      <c r="K175" s="23">
        <f>I175-J175</f>
        <v>0</v>
      </c>
      <c r="L175" s="24"/>
      <c r="M175" s="182"/>
      <c r="N175" s="183"/>
      <c r="O175" s="25"/>
      <c r="P175" s="26"/>
      <c r="Q175" s="331"/>
      <c r="R175" s="331"/>
    </row>
    <row r="176" spans="1:50" s="2" customFormat="1" ht="24" hidden="1" customHeight="1" x14ac:dyDescent="0.25">
      <c r="A176" s="201" t="s">
        <v>47</v>
      </c>
      <c r="B176" s="112" t="s">
        <v>9</v>
      </c>
      <c r="C176" s="112" t="s">
        <v>12</v>
      </c>
      <c r="D176" s="112" t="s">
        <v>85</v>
      </c>
      <c r="E176" s="138">
        <v>7010470790</v>
      </c>
      <c r="F176" s="112" t="s">
        <v>63</v>
      </c>
      <c r="G176" s="112" t="s">
        <v>48</v>
      </c>
      <c r="H176" s="112"/>
      <c r="I176" s="116"/>
      <c r="J176" s="116"/>
      <c r="K176" s="116">
        <f t="shared" si="85"/>
        <v>0</v>
      </c>
      <c r="L176" s="136" t="e">
        <f>#REF!</f>
        <v>#REF!</v>
      </c>
      <c r="M176" s="182"/>
      <c r="N176" s="183"/>
      <c r="O176" s="119">
        <f t="shared" si="82"/>
        <v>0</v>
      </c>
      <c r="P176" s="120" t="e">
        <f t="shared" ref="P176:P178" si="92">J176/I176*100</f>
        <v>#DIV/0!</v>
      </c>
      <c r="Q176" s="332"/>
      <c r="R176" s="332"/>
      <c r="S176" s="1"/>
      <c r="T176" s="1"/>
      <c r="U176" s="1"/>
      <c r="V176" s="1"/>
      <c r="W176" s="1"/>
      <c r="X176" s="1"/>
      <c r="Y176" s="1"/>
      <c r="Z176" s="68"/>
      <c r="AA176" s="68"/>
      <c r="AB176" s="68"/>
      <c r="AC176" s="68"/>
      <c r="AD176" s="6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24" hidden="1" customHeight="1" x14ac:dyDescent="0.25">
      <c r="A177" s="175" t="s">
        <v>109</v>
      </c>
      <c r="B177" s="112" t="s">
        <v>9</v>
      </c>
      <c r="C177" s="112" t="s">
        <v>12</v>
      </c>
      <c r="D177" s="112" t="s">
        <v>85</v>
      </c>
      <c r="E177" s="138">
        <v>7010470790</v>
      </c>
      <c r="F177" s="112" t="s">
        <v>63</v>
      </c>
      <c r="G177" s="112" t="s">
        <v>104</v>
      </c>
      <c r="H177" s="22"/>
      <c r="I177" s="23"/>
      <c r="J177" s="23"/>
      <c r="K177" s="116">
        <f t="shared" si="85"/>
        <v>0</v>
      </c>
      <c r="L177" s="137"/>
      <c r="M177" s="314"/>
      <c r="N177" s="311"/>
      <c r="O177" s="119">
        <f>I177-J177-K177</f>
        <v>0</v>
      </c>
      <c r="P177" s="120" t="e">
        <f t="shared" si="92"/>
        <v>#DIV/0!</v>
      </c>
      <c r="Q177" s="332"/>
      <c r="R177" s="332"/>
      <c r="S177" s="1"/>
      <c r="T177" s="1"/>
      <c r="U177" s="1"/>
      <c r="V177" s="1"/>
      <c r="W177" s="1"/>
      <c r="X177" s="1"/>
      <c r="Y177" s="1"/>
      <c r="Z177" s="68"/>
      <c r="AA177" s="68"/>
      <c r="AB177" s="68"/>
      <c r="AC177" s="68"/>
      <c r="AD177" s="6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hidden="1" customHeight="1" x14ac:dyDescent="0.25">
      <c r="A178" s="199" t="s">
        <v>145</v>
      </c>
      <c r="B178" s="104" t="s">
        <v>9</v>
      </c>
      <c r="C178" s="104" t="s">
        <v>12</v>
      </c>
      <c r="D178" s="104" t="s">
        <v>12</v>
      </c>
      <c r="E178" s="104" t="s">
        <v>149</v>
      </c>
      <c r="F178" s="104"/>
      <c r="G178" s="104"/>
      <c r="H178" s="104"/>
      <c r="I178" s="106">
        <f>I179+I180</f>
        <v>0</v>
      </c>
      <c r="J178" s="106">
        <f>J180+J179</f>
        <v>0</v>
      </c>
      <c r="K178" s="106">
        <f>K180+K179</f>
        <v>0</v>
      </c>
      <c r="L178" s="115"/>
      <c r="M178" s="195"/>
      <c r="N178" s="196"/>
      <c r="O178" s="20">
        <f>I178-J178-K178</f>
        <v>0</v>
      </c>
      <c r="P178" s="21" t="e">
        <f t="shared" si="92"/>
        <v>#DIV/0!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hidden="1" customHeight="1" x14ac:dyDescent="0.25">
      <c r="A179" s="194" t="s">
        <v>27</v>
      </c>
      <c r="B179" s="112" t="s">
        <v>9</v>
      </c>
      <c r="C179" s="112" t="s">
        <v>12</v>
      </c>
      <c r="D179" s="112" t="s">
        <v>12</v>
      </c>
      <c r="E179" s="112" t="s">
        <v>149</v>
      </c>
      <c r="F179" s="112" t="s">
        <v>63</v>
      </c>
      <c r="G179" s="112" t="s">
        <v>28</v>
      </c>
      <c r="H179" s="129"/>
      <c r="I179" s="116"/>
      <c r="J179" s="117"/>
      <c r="K179" s="130">
        <f>I179-J179</f>
        <v>0</v>
      </c>
      <c r="L179" s="131"/>
      <c r="M179" s="184"/>
      <c r="N179" s="185"/>
      <c r="O179" s="132"/>
      <c r="P179" s="133"/>
      <c r="Q179" s="325"/>
      <c r="R179" s="326"/>
    </row>
    <row r="180" spans="1:50" s="2" customFormat="1" ht="27.75" hidden="1" customHeight="1" x14ac:dyDescent="0.25">
      <c r="A180" s="175" t="s">
        <v>31</v>
      </c>
      <c r="B180" s="112" t="s">
        <v>9</v>
      </c>
      <c r="C180" s="112" t="s">
        <v>12</v>
      </c>
      <c r="D180" s="112" t="s">
        <v>12</v>
      </c>
      <c r="E180" s="112" t="s">
        <v>149</v>
      </c>
      <c r="F180" s="112" t="s">
        <v>63</v>
      </c>
      <c r="G180" s="112" t="s">
        <v>32</v>
      </c>
      <c r="H180" s="112"/>
      <c r="I180" s="116"/>
      <c r="J180" s="117"/>
      <c r="K180" s="116">
        <f>I180-J180</f>
        <v>0</v>
      </c>
      <c r="L180" s="131"/>
      <c r="M180" s="182"/>
      <c r="N180" s="183"/>
      <c r="O180" s="119">
        <f t="shared" ref="O180" si="93">I180-J180-K180</f>
        <v>0</v>
      </c>
      <c r="P180" s="120" t="e">
        <f t="shared" ref="P180:P186" si="94">J180/I180*100</f>
        <v>#DIV/0!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s="2" customFormat="1" ht="60" customHeight="1" x14ac:dyDescent="0.25">
      <c r="A181" s="199" t="s">
        <v>156</v>
      </c>
      <c r="B181" s="104" t="s">
        <v>9</v>
      </c>
      <c r="C181" s="104" t="s">
        <v>12</v>
      </c>
      <c r="D181" s="104" t="s">
        <v>14</v>
      </c>
      <c r="E181" s="104" t="s">
        <v>157</v>
      </c>
      <c r="F181" s="104"/>
      <c r="G181" s="104"/>
      <c r="H181" s="104"/>
      <c r="I181" s="106">
        <f>I182+I183</f>
        <v>6358968</v>
      </c>
      <c r="J181" s="106">
        <f>J183+J182</f>
        <v>5862138.3600000003</v>
      </c>
      <c r="K181" s="106">
        <f>K183+K182</f>
        <v>496829.6399999999</v>
      </c>
      <c r="L181" s="115"/>
      <c r="M181" s="195"/>
      <c r="N181" s="196"/>
      <c r="O181" s="20">
        <f>I181-J181-K181</f>
        <v>0</v>
      </c>
      <c r="P181" s="21">
        <f t="shared" si="94"/>
        <v>92.186945428880918</v>
      </c>
      <c r="Q181" s="321"/>
      <c r="R181" s="32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33" customHeight="1" x14ac:dyDescent="0.25">
      <c r="A182" s="194" t="s">
        <v>27</v>
      </c>
      <c r="B182" s="112" t="s">
        <v>9</v>
      </c>
      <c r="C182" s="112" t="s">
        <v>12</v>
      </c>
      <c r="D182" s="112" t="s">
        <v>14</v>
      </c>
      <c r="E182" s="112" t="s">
        <v>157</v>
      </c>
      <c r="F182" s="112" t="s">
        <v>63</v>
      </c>
      <c r="G182" s="112" t="s">
        <v>28</v>
      </c>
      <c r="H182" s="129"/>
      <c r="I182" s="116">
        <v>4884000</v>
      </c>
      <c r="J182" s="117">
        <v>4503347.58</v>
      </c>
      <c r="K182" s="116">
        <f>I182-J182</f>
        <v>380652.41999999993</v>
      </c>
      <c r="L182" s="131"/>
      <c r="M182" s="184"/>
      <c r="N182" s="185"/>
      <c r="O182" s="119">
        <f t="shared" ref="O182:O183" si="95">I182-J182-K182</f>
        <v>0</v>
      </c>
      <c r="P182" s="120">
        <f t="shared" si="94"/>
        <v>92.206133906633909</v>
      </c>
      <c r="Q182" s="325"/>
      <c r="R182" s="326"/>
    </row>
    <row r="183" spans="1:50" s="2" customFormat="1" ht="27.75" customHeight="1" x14ac:dyDescent="0.25">
      <c r="A183" s="175" t="s">
        <v>31</v>
      </c>
      <c r="B183" s="112" t="s">
        <v>9</v>
      </c>
      <c r="C183" s="112" t="s">
        <v>12</v>
      </c>
      <c r="D183" s="112" t="s">
        <v>14</v>
      </c>
      <c r="E183" s="112" t="s">
        <v>157</v>
      </c>
      <c r="F183" s="112" t="s">
        <v>63</v>
      </c>
      <c r="G183" s="112" t="s">
        <v>32</v>
      </c>
      <c r="H183" s="112"/>
      <c r="I183" s="116">
        <v>1474968</v>
      </c>
      <c r="J183" s="117">
        <v>1358790.78</v>
      </c>
      <c r="K183" s="116">
        <f>I183-J183</f>
        <v>116177.21999999997</v>
      </c>
      <c r="L183" s="131"/>
      <c r="M183" s="182"/>
      <c r="N183" s="183"/>
      <c r="O183" s="119">
        <f t="shared" si="95"/>
        <v>0</v>
      </c>
      <c r="P183" s="120">
        <f t="shared" si="94"/>
        <v>92.123407423076301</v>
      </c>
      <c r="Q183" s="323"/>
      <c r="R183" s="32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" customFormat="1" ht="60" customHeight="1" x14ac:dyDescent="0.25">
      <c r="A184" s="199" t="s">
        <v>156</v>
      </c>
      <c r="B184" s="104" t="s">
        <v>9</v>
      </c>
      <c r="C184" s="104" t="s">
        <v>12</v>
      </c>
      <c r="D184" s="104" t="s">
        <v>14</v>
      </c>
      <c r="E184" s="104" t="s">
        <v>158</v>
      </c>
      <c r="F184" s="104"/>
      <c r="G184" s="104"/>
      <c r="H184" s="104"/>
      <c r="I184" s="106">
        <f>I185+I186</f>
        <v>289044</v>
      </c>
      <c r="J184" s="106">
        <f>J186+J185</f>
        <v>266311.52</v>
      </c>
      <c r="K184" s="106">
        <f>K186+K185</f>
        <v>22732.480000000003</v>
      </c>
      <c r="L184" s="115"/>
      <c r="M184" s="195"/>
      <c r="N184" s="196"/>
      <c r="O184" s="20">
        <f>I184-J184-K184</f>
        <v>0</v>
      </c>
      <c r="P184" s="21">
        <f t="shared" si="94"/>
        <v>92.135287361093816</v>
      </c>
      <c r="Q184" s="321"/>
      <c r="R184" s="32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33" customHeight="1" x14ac:dyDescent="0.25">
      <c r="A185" s="194" t="s">
        <v>27</v>
      </c>
      <c r="B185" s="112" t="s">
        <v>9</v>
      </c>
      <c r="C185" s="112" t="s">
        <v>12</v>
      </c>
      <c r="D185" s="112" t="s">
        <v>14</v>
      </c>
      <c r="E185" s="112" t="s">
        <v>158</v>
      </c>
      <c r="F185" s="112" t="s">
        <v>63</v>
      </c>
      <c r="G185" s="112" t="s">
        <v>28</v>
      </c>
      <c r="H185" s="129"/>
      <c r="I185" s="116">
        <v>222000</v>
      </c>
      <c r="J185" s="117">
        <v>204593.06</v>
      </c>
      <c r="K185" s="116">
        <f>I185-J185</f>
        <v>17406.940000000002</v>
      </c>
      <c r="L185" s="131"/>
      <c r="M185" s="184"/>
      <c r="N185" s="185"/>
      <c r="O185" s="119">
        <f t="shared" ref="O185:O186" si="96">I185-J185-K185</f>
        <v>0</v>
      </c>
      <c r="P185" s="120">
        <f t="shared" si="94"/>
        <v>92.159036036036042</v>
      </c>
      <c r="Q185" s="325"/>
      <c r="R185" s="326"/>
    </row>
    <row r="186" spans="1:50" s="2" customFormat="1" ht="27.75" customHeight="1" x14ac:dyDescent="0.25">
      <c r="A186" s="291" t="s">
        <v>31</v>
      </c>
      <c r="B186" s="112" t="s">
        <v>9</v>
      </c>
      <c r="C186" s="112" t="s">
        <v>12</v>
      </c>
      <c r="D186" s="112" t="s">
        <v>14</v>
      </c>
      <c r="E186" s="112" t="s">
        <v>158</v>
      </c>
      <c r="F186" s="112" t="s">
        <v>63</v>
      </c>
      <c r="G186" s="112" t="s">
        <v>32</v>
      </c>
      <c r="H186" s="112"/>
      <c r="I186" s="116">
        <v>67044</v>
      </c>
      <c r="J186" s="117">
        <v>61718.46</v>
      </c>
      <c r="K186" s="116">
        <f>I186-J186</f>
        <v>5325.5400000000009</v>
      </c>
      <c r="L186" s="131"/>
      <c r="M186" s="182"/>
      <c r="N186" s="183"/>
      <c r="O186" s="119">
        <f t="shared" si="96"/>
        <v>0</v>
      </c>
      <c r="P186" s="120">
        <f t="shared" si="94"/>
        <v>92.056649364596382</v>
      </c>
      <c r="Q186" s="323"/>
      <c r="R186" s="32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9.5" customHeight="1" x14ac:dyDescent="0.25">
      <c r="A187" s="386" t="s">
        <v>80</v>
      </c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30"/>
      <c r="R187" s="330"/>
    </row>
    <row r="188" spans="1:50" s="15" customFormat="1" ht="72.75" customHeight="1" x14ac:dyDescent="0.25">
      <c r="A188" s="202" t="s">
        <v>120</v>
      </c>
      <c r="B188" s="16" t="s">
        <v>81</v>
      </c>
      <c r="C188" s="16" t="s">
        <v>82</v>
      </c>
      <c r="D188" s="16" t="s">
        <v>82</v>
      </c>
      <c r="E188" s="16" t="s">
        <v>83</v>
      </c>
      <c r="F188" s="16" t="s">
        <v>81</v>
      </c>
      <c r="G188" s="16"/>
      <c r="H188" s="16"/>
      <c r="I188" s="17">
        <f>I189</f>
        <v>4319310.46</v>
      </c>
      <c r="J188" s="17">
        <f>J189</f>
        <v>3908503.58</v>
      </c>
      <c r="K188" s="17">
        <f>I188-J188</f>
        <v>410806.87999999989</v>
      </c>
      <c r="L188" s="17">
        <f t="shared" ref="L188:N188" si="97">L189</f>
        <v>0</v>
      </c>
      <c r="M188" s="17">
        <f t="shared" si="97"/>
        <v>0</v>
      </c>
      <c r="N188" s="17">
        <f t="shared" si="97"/>
        <v>0</v>
      </c>
      <c r="O188" s="20">
        <f t="shared" ref="O188:O189" si="98">I188-J188-K188</f>
        <v>0</v>
      </c>
      <c r="P188" s="21">
        <f>J188/I188*100</f>
        <v>90.489063386288748</v>
      </c>
      <c r="Q188" s="331"/>
      <c r="R188" s="331"/>
      <c r="S188" s="1"/>
      <c r="T188" s="1"/>
      <c r="U188" s="1"/>
      <c r="V188" s="1"/>
      <c r="W188" s="1"/>
      <c r="X188" s="1"/>
      <c r="Y188" s="1"/>
    </row>
    <row r="189" spans="1:50" s="15" customFormat="1" ht="18.75" customHeight="1" x14ac:dyDescent="0.25">
      <c r="A189" s="99" t="s">
        <v>113</v>
      </c>
      <c r="B189" s="22" t="s">
        <v>81</v>
      </c>
      <c r="C189" s="22" t="s">
        <v>82</v>
      </c>
      <c r="D189" s="22" t="s">
        <v>82</v>
      </c>
      <c r="E189" s="22" t="s">
        <v>83</v>
      </c>
      <c r="F189" s="22" t="s">
        <v>81</v>
      </c>
      <c r="G189" s="22" t="s">
        <v>114</v>
      </c>
      <c r="H189" s="22"/>
      <c r="I189" s="23">
        <v>4319310.46</v>
      </c>
      <c r="J189" s="23">
        <v>3908503.58</v>
      </c>
      <c r="K189" s="23">
        <f>I189-J189</f>
        <v>410806.87999999989</v>
      </c>
      <c r="L189" s="292"/>
      <c r="M189" s="314"/>
      <c r="N189" s="311"/>
      <c r="O189" s="25">
        <f t="shared" si="98"/>
        <v>0</v>
      </c>
      <c r="P189" s="26">
        <f>J189/I189*100</f>
        <v>90.489063386288748</v>
      </c>
      <c r="Q189" s="331"/>
      <c r="R189" s="331"/>
      <c r="S189" s="1"/>
      <c r="T189" s="1"/>
      <c r="U189" s="1"/>
      <c r="V189" s="1"/>
      <c r="W189" s="1"/>
      <c r="X189" s="1"/>
      <c r="Y189" s="1"/>
    </row>
    <row r="190" spans="1:50" ht="0.75" customHeight="1" x14ac:dyDescent="0.25">
      <c r="A190" s="293"/>
      <c r="B190" s="293"/>
      <c r="C190" s="293"/>
      <c r="D190" s="293"/>
      <c r="E190" s="293"/>
      <c r="F190" s="293"/>
      <c r="G190" s="293"/>
      <c r="H190" s="294"/>
      <c r="I190" s="295"/>
      <c r="J190" s="296"/>
      <c r="K190" s="297"/>
      <c r="L190" s="311"/>
      <c r="M190" s="311"/>
      <c r="N190" s="311"/>
      <c r="O190" s="311"/>
      <c r="P190" s="311"/>
      <c r="Q190" s="311"/>
      <c r="R190" s="311"/>
    </row>
    <row r="191" spans="1:50" ht="19.5" customHeight="1" x14ac:dyDescent="0.25">
      <c r="A191" s="386" t="s">
        <v>186</v>
      </c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31"/>
      <c r="R191" s="331"/>
    </row>
    <row r="192" spans="1:50" s="15" customFormat="1" ht="76.5" customHeight="1" x14ac:dyDescent="0.25">
      <c r="A192" s="202"/>
      <c r="B192" s="16" t="s">
        <v>81</v>
      </c>
      <c r="C192" s="16" t="s">
        <v>82</v>
      </c>
      <c r="D192" s="16" t="s">
        <v>82</v>
      </c>
      <c r="E192" s="16" t="s">
        <v>83</v>
      </c>
      <c r="F192" s="16" t="s">
        <v>81</v>
      </c>
      <c r="G192" s="16"/>
      <c r="H192" s="16"/>
      <c r="I192" s="17">
        <f>I194+I193</f>
        <v>1250000</v>
      </c>
      <c r="J192" s="17">
        <f>J194+J193</f>
        <v>1249214</v>
      </c>
      <c r="K192" s="17">
        <f>I192-J192</f>
        <v>786</v>
      </c>
      <c r="L192" s="17">
        <f t="shared" ref="L192:N192" si="99">L194</f>
        <v>0</v>
      </c>
      <c r="M192" s="17">
        <f t="shared" si="99"/>
        <v>0</v>
      </c>
      <c r="N192" s="17">
        <f t="shared" si="99"/>
        <v>0</v>
      </c>
      <c r="O192" s="20">
        <f t="shared" ref="O192:O194" si="100">I192-J192-K192</f>
        <v>0</v>
      </c>
      <c r="P192" s="21">
        <f>J192/I192*100</f>
        <v>99.937120000000007</v>
      </c>
      <c r="Q192" s="331"/>
      <c r="R192" s="331"/>
      <c r="S192" s="1"/>
      <c r="T192" s="1"/>
      <c r="U192" s="1"/>
      <c r="V192" s="1"/>
      <c r="W192" s="1"/>
      <c r="X192" s="1"/>
      <c r="Y192" s="1"/>
    </row>
    <row r="193" spans="1:25" s="15" customFormat="1" ht="18.75" customHeight="1" x14ac:dyDescent="0.25">
      <c r="A193" s="99" t="s">
        <v>113</v>
      </c>
      <c r="B193" s="22" t="s">
        <v>81</v>
      </c>
      <c r="C193" s="22" t="s">
        <v>82</v>
      </c>
      <c r="D193" s="22" t="s">
        <v>82</v>
      </c>
      <c r="E193" s="22" t="s">
        <v>83</v>
      </c>
      <c r="F193" s="22" t="s">
        <v>81</v>
      </c>
      <c r="G193" s="22" t="s">
        <v>48</v>
      </c>
      <c r="H193" s="22"/>
      <c r="I193" s="23">
        <v>368049</v>
      </c>
      <c r="J193" s="23">
        <v>367263</v>
      </c>
      <c r="K193" s="23">
        <f>I193-J193</f>
        <v>786</v>
      </c>
      <c r="L193" s="292"/>
      <c r="M193" s="314"/>
      <c r="N193" s="311"/>
      <c r="O193" s="25">
        <f t="shared" si="100"/>
        <v>0</v>
      </c>
      <c r="P193" s="26">
        <f>J193/I193*100</f>
        <v>99.786441479259551</v>
      </c>
      <c r="Q193" s="331"/>
      <c r="R193" s="331"/>
      <c r="S193" s="1"/>
      <c r="T193" s="1"/>
      <c r="U193" s="1"/>
      <c r="V193" s="1"/>
      <c r="W193" s="1"/>
      <c r="X193" s="1"/>
      <c r="Y193" s="1"/>
    </row>
    <row r="194" spans="1:25" s="15" customFormat="1" ht="18.75" customHeight="1" x14ac:dyDescent="0.25">
      <c r="A194" s="99" t="s">
        <v>113</v>
      </c>
      <c r="B194" s="22" t="s">
        <v>81</v>
      </c>
      <c r="C194" s="22" t="s">
        <v>82</v>
      </c>
      <c r="D194" s="22" t="s">
        <v>82</v>
      </c>
      <c r="E194" s="22" t="s">
        <v>83</v>
      </c>
      <c r="F194" s="22" t="s">
        <v>81</v>
      </c>
      <c r="G194" s="22" t="s">
        <v>104</v>
      </c>
      <c r="H194" s="22"/>
      <c r="I194" s="23">
        <v>881951</v>
      </c>
      <c r="J194" s="23">
        <v>881951</v>
      </c>
      <c r="K194" s="23">
        <f>I194-J194</f>
        <v>0</v>
      </c>
      <c r="L194" s="292"/>
      <c r="M194" s="314"/>
      <c r="N194" s="311"/>
      <c r="O194" s="25">
        <f t="shared" si="100"/>
        <v>0</v>
      </c>
      <c r="P194" s="26">
        <f>J194/I194*100</f>
        <v>100</v>
      </c>
      <c r="Q194" s="331"/>
      <c r="R194" s="331"/>
      <c r="S194" s="1"/>
      <c r="T194" s="1"/>
      <c r="U194" s="1"/>
      <c r="V194" s="1"/>
      <c r="W194" s="1"/>
      <c r="X194" s="1"/>
      <c r="Y194" s="1"/>
    </row>
    <row r="195" spans="1:25" ht="27.75" customHeight="1" x14ac:dyDescent="0.25">
      <c r="A195" s="77"/>
      <c r="B195" s="78"/>
      <c r="C195" s="78"/>
      <c r="D195" s="78"/>
      <c r="E195" s="78"/>
      <c r="F195" s="78"/>
      <c r="G195" s="1"/>
      <c r="H195" s="1"/>
      <c r="I195" s="1"/>
      <c r="J195" s="1"/>
      <c r="K195" s="1"/>
      <c r="L195" s="73"/>
      <c r="M195" s="74"/>
      <c r="N195" s="75"/>
      <c r="O195" s="75"/>
      <c r="P195" s="75"/>
    </row>
    <row r="196" spans="1:25" ht="40.5" customHeight="1" x14ac:dyDescent="0.25">
      <c r="A196" s="379" t="s">
        <v>216</v>
      </c>
      <c r="B196" s="379"/>
      <c r="C196" s="379"/>
      <c r="D196" s="379"/>
      <c r="E196" s="379"/>
      <c r="F196" s="379"/>
      <c r="G196" s="379"/>
      <c r="H196" s="80"/>
      <c r="I196" s="1"/>
      <c r="J196" s="1"/>
      <c r="K196" s="1"/>
      <c r="L196" s="73"/>
      <c r="M196" s="74"/>
      <c r="N196" s="75"/>
      <c r="O196" s="75"/>
      <c r="P196" s="75"/>
    </row>
    <row r="197" spans="1:25" ht="15" customHeight="1" x14ac:dyDescent="0.25">
      <c r="A197" s="379" t="s">
        <v>177</v>
      </c>
      <c r="B197" s="379"/>
      <c r="C197" s="379"/>
      <c r="D197" s="379"/>
      <c r="E197" s="379"/>
      <c r="F197" s="379"/>
      <c r="G197" s="379"/>
      <c r="H197" s="80"/>
      <c r="I197" s="1"/>
      <c r="J197" s="1"/>
      <c r="K197" s="1"/>
      <c r="L197" s="73"/>
      <c r="M197" s="74"/>
      <c r="N197" s="75"/>
      <c r="O197" s="75"/>
      <c r="P197" s="75"/>
    </row>
    <row r="198" spans="1:25" ht="18.75" x14ac:dyDescent="0.25">
      <c r="A198" s="83"/>
      <c r="B198" s="84"/>
      <c r="C198" s="84"/>
      <c r="D198" s="84"/>
      <c r="E198" s="84"/>
      <c r="F198" s="84"/>
      <c r="G198" s="1"/>
      <c r="H198" s="1"/>
      <c r="I198" s="1"/>
      <c r="J198" s="1"/>
      <c r="K198" s="1"/>
      <c r="L198" s="73"/>
      <c r="M198" s="74"/>
      <c r="N198" s="75"/>
      <c r="O198" s="75"/>
      <c r="P198" s="75"/>
    </row>
    <row r="199" spans="1:25" x14ac:dyDescent="0.25">
      <c r="A199" s="1"/>
      <c r="B199" s="1"/>
      <c r="C199" s="1"/>
      <c r="D199" s="1"/>
      <c r="E199" s="1"/>
      <c r="F199" s="1"/>
      <c r="L199" s="73"/>
      <c r="M199" s="74"/>
      <c r="N199" s="75"/>
      <c r="O199" s="75"/>
      <c r="P199" s="75"/>
    </row>
    <row r="200" spans="1:25" x14ac:dyDescent="0.25">
      <c r="A200" s="1"/>
      <c r="B200" s="1"/>
      <c r="C200" s="1"/>
      <c r="D200" s="1"/>
      <c r="E200" s="1"/>
      <c r="F200" s="1"/>
      <c r="L200" s="73"/>
      <c r="M200" s="74"/>
      <c r="N200" s="75"/>
      <c r="O200" s="75"/>
      <c r="P200" s="75"/>
    </row>
    <row r="201" spans="1:25" x14ac:dyDescent="0.25">
      <c r="A201" s="1"/>
      <c r="B201" s="1"/>
      <c r="C201" s="1"/>
      <c r="D201" s="1"/>
      <c r="E201" s="1"/>
      <c r="F201" s="1"/>
      <c r="J201" s="246" t="e">
        <f>SUM(J194+J189+J186+J185+J183+J182+J170+J162+J160+J158+J153+J149+J148+J146+J137+J131+J130+J129+J128+J127+J126+J124+J123+J121+J120+J118+J117+J115+J113++J108+J107+J105+J104+J99+J98+J96+J95++J93+J91+J89+J87+J86+J84+J83+J82+J70+J67+J66+#REF!+J65+J64+J63+J55+J54+J52+J51+J49+J47+J45+J44+J43+J42+J40+J39+J38+J37+J36+J35+J34+J33+J31+J30+J29+J28+J27+J26+J25+J24+J23+J21+J20+J19+J17+J16+J193+J92+J72)</f>
        <v>#REF!</v>
      </c>
      <c r="L201" s="73"/>
      <c r="M201" s="74"/>
      <c r="N201" s="75"/>
      <c r="O201" s="75"/>
      <c r="P201" s="75"/>
    </row>
    <row r="202" spans="1:25" x14ac:dyDescent="0.25">
      <c r="A202" s="1"/>
      <c r="B202" s="1"/>
      <c r="C202" s="1"/>
      <c r="D202" s="1"/>
      <c r="E202" s="1"/>
      <c r="F202" s="1"/>
      <c r="J202" s="128">
        <v>75541745.430000007</v>
      </c>
    </row>
    <row r="203" spans="1:25" x14ac:dyDescent="0.25">
      <c r="A203" s="1"/>
      <c r="B203" s="1"/>
      <c r="C203" s="1"/>
      <c r="D203" s="1"/>
      <c r="E203" s="1"/>
      <c r="F203" s="1"/>
      <c r="J203" s="246" t="e">
        <f>J202-J201</f>
        <v>#REF!</v>
      </c>
      <c r="L203" s="1"/>
      <c r="M203" s="1"/>
    </row>
    <row r="204" spans="1:25" x14ac:dyDescent="0.25">
      <c r="A204" s="1"/>
      <c r="B204" s="1"/>
      <c r="C204" s="1"/>
      <c r="D204" s="1"/>
      <c r="E204" s="1"/>
      <c r="F204" s="1"/>
      <c r="L204" s="1"/>
      <c r="M204" s="1"/>
    </row>
    <row r="205" spans="1:25" x14ac:dyDescent="0.25">
      <c r="A205" s="1"/>
      <c r="B205" s="1"/>
      <c r="C205" s="1"/>
      <c r="D205" s="1"/>
      <c r="E205" s="1"/>
      <c r="F205" s="1"/>
      <c r="L205" s="1"/>
      <c r="M205" s="1"/>
    </row>
    <row r="206" spans="1:25" x14ac:dyDescent="0.25">
      <c r="A206" s="1"/>
      <c r="B206" s="1"/>
      <c r="C206" s="1"/>
      <c r="D206" s="1"/>
      <c r="E206" s="1"/>
      <c r="F206" s="1"/>
      <c r="L206" s="1"/>
      <c r="M206" s="1"/>
    </row>
    <row r="207" spans="1:25" x14ac:dyDescent="0.25">
      <c r="A207" s="1"/>
      <c r="B207" s="1"/>
      <c r="C207" s="1"/>
      <c r="D207" s="1"/>
      <c r="E207" s="1"/>
      <c r="F207" s="1"/>
    </row>
    <row r="208" spans="1:25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x14ac:dyDescent="0.25">
      <c r="A213" s="1"/>
      <c r="B213" s="1"/>
      <c r="C213" s="1"/>
      <c r="D213" s="1"/>
      <c r="E213" s="1"/>
      <c r="F213" s="1"/>
    </row>
    <row r="214" spans="1:50" x14ac:dyDescent="0.25">
      <c r="A214" s="1"/>
      <c r="B214" s="1"/>
      <c r="C214" s="1"/>
      <c r="D214" s="1"/>
      <c r="E214" s="1"/>
      <c r="F214" s="1"/>
    </row>
    <row r="215" spans="1:50" x14ac:dyDescent="0.25">
      <c r="A215" s="1"/>
      <c r="B215" s="1"/>
      <c r="C215" s="1"/>
      <c r="D215" s="1"/>
      <c r="E215" s="1"/>
      <c r="F215" s="1"/>
    </row>
    <row r="216" spans="1:50" x14ac:dyDescent="0.25">
      <c r="A216" s="1"/>
      <c r="B216" s="1"/>
      <c r="C216" s="1"/>
      <c r="D216" s="1"/>
      <c r="E216" s="1"/>
      <c r="F216" s="1"/>
    </row>
    <row r="217" spans="1:50" x14ac:dyDescent="0.25">
      <c r="A217" s="1"/>
      <c r="B217" s="1"/>
      <c r="C217" s="1"/>
      <c r="D217" s="1"/>
      <c r="E217" s="1"/>
      <c r="F217" s="1"/>
    </row>
    <row r="218" spans="1:50" s="68" customFormat="1" x14ac:dyDescent="0.25">
      <c r="A218" s="1"/>
      <c r="B218" s="1"/>
      <c r="C218" s="1"/>
      <c r="D218" s="1"/>
      <c r="E218" s="1"/>
      <c r="F218" s="1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8" customFormat="1" x14ac:dyDescent="0.25">
      <c r="A219" s="85"/>
      <c r="I219" s="128"/>
      <c r="J219" s="128"/>
      <c r="K219" s="76"/>
      <c r="L219" s="76"/>
      <c r="M219" s="2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8" customFormat="1" x14ac:dyDescent="0.25">
      <c r="A220" s="85"/>
      <c r="I220" s="128"/>
      <c r="J220" s="128"/>
      <c r="K220" s="76"/>
      <c r="L220" s="76"/>
      <c r="M220" s="2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8" customFormat="1" x14ac:dyDescent="0.25">
      <c r="A221" s="85"/>
      <c r="I221" s="128"/>
      <c r="J221" s="128"/>
      <c r="K221" s="76"/>
      <c r="L221" s="76"/>
      <c r="M221" s="2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68" customFormat="1" x14ac:dyDescent="0.25">
      <c r="A222" s="85"/>
      <c r="I222" s="128"/>
      <c r="J222" s="128"/>
      <c r="K222" s="76"/>
      <c r="L222" s="76"/>
      <c r="M222" s="2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68" customFormat="1" x14ac:dyDescent="0.25">
      <c r="A223" s="85"/>
      <c r="I223" s="128"/>
      <c r="J223" s="128"/>
      <c r="K223" s="76"/>
      <c r="L223" s="76"/>
      <c r="M223" s="2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68" customFormat="1" x14ac:dyDescent="0.25">
      <c r="A224" s="85"/>
      <c r="I224" s="128"/>
      <c r="J224" s="128"/>
      <c r="K224" s="76"/>
      <c r="L224" s="76"/>
      <c r="M224" s="2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68" customFormat="1" x14ac:dyDescent="0.25">
      <c r="A225" s="85"/>
      <c r="I225" s="128"/>
      <c r="J225" s="128"/>
      <c r="K225" s="76"/>
      <c r="L225" s="76"/>
      <c r="M225" s="2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68" customFormat="1" x14ac:dyDescent="0.25">
      <c r="A226" s="85"/>
      <c r="I226" s="128"/>
      <c r="J226" s="128"/>
      <c r="K226" s="76"/>
      <c r="L226" s="76"/>
      <c r="M226" s="2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</sheetData>
  <mergeCells count="181">
    <mergeCell ref="A197:G197"/>
    <mergeCell ref="A191:P191"/>
    <mergeCell ref="Q191:R191"/>
    <mergeCell ref="Q192:R192"/>
    <mergeCell ref="Q193:R193"/>
    <mergeCell ref="Q194:R194"/>
    <mergeCell ref="A196:G196"/>
    <mergeCell ref="Q181:R183"/>
    <mergeCell ref="Q184:R186"/>
    <mergeCell ref="A187:P187"/>
    <mergeCell ref="Q187:R187"/>
    <mergeCell ref="Q188:R188"/>
    <mergeCell ref="Q189:R189"/>
    <mergeCell ref="Q173:R173"/>
    <mergeCell ref="Q174:R174"/>
    <mergeCell ref="Q175:R175"/>
    <mergeCell ref="Q176:R176"/>
    <mergeCell ref="Q177:R177"/>
    <mergeCell ref="Q178:R180"/>
    <mergeCell ref="Q167:R167"/>
    <mergeCell ref="Q168:R168"/>
    <mergeCell ref="Q169:R169"/>
    <mergeCell ref="Q170:R170"/>
    <mergeCell ref="Q171:R171"/>
    <mergeCell ref="Q172:R172"/>
    <mergeCell ref="Q161:R161"/>
    <mergeCell ref="Q162:R162"/>
    <mergeCell ref="Q163:R163"/>
    <mergeCell ref="Q164:R164"/>
    <mergeCell ref="Q165:R165"/>
    <mergeCell ref="Q166:R166"/>
    <mergeCell ref="Q155:R155"/>
    <mergeCell ref="Q156:R156"/>
    <mergeCell ref="Q157:R157"/>
    <mergeCell ref="Q158:R158"/>
    <mergeCell ref="Q159:R159"/>
    <mergeCell ref="Q160:R160"/>
    <mergeCell ref="Q146:R146"/>
    <mergeCell ref="Q147:R149"/>
    <mergeCell ref="Q150:R151"/>
    <mergeCell ref="Q152:R153"/>
    <mergeCell ref="A154:P154"/>
    <mergeCell ref="Q154:R154"/>
    <mergeCell ref="Q132:R134"/>
    <mergeCell ref="Q135:R137"/>
    <mergeCell ref="Q138:R139"/>
    <mergeCell ref="Q140:R141"/>
    <mergeCell ref="Q143:R144"/>
    <mergeCell ref="Q145:R145"/>
    <mergeCell ref="Q126:R126"/>
    <mergeCell ref="Q127:R127"/>
    <mergeCell ref="Q128:R128"/>
    <mergeCell ref="Q129:R129"/>
    <mergeCell ref="Q130:R130"/>
    <mergeCell ref="Q131:R131"/>
    <mergeCell ref="Q120:R120"/>
    <mergeCell ref="Q121:R121"/>
    <mergeCell ref="Q122:R122"/>
    <mergeCell ref="Q123:R123"/>
    <mergeCell ref="Q124:R124"/>
    <mergeCell ref="Q125:R125"/>
    <mergeCell ref="Q114:R114"/>
    <mergeCell ref="Q115:R115"/>
    <mergeCell ref="Q116:R116"/>
    <mergeCell ref="Q117:R117"/>
    <mergeCell ref="Q118:R118"/>
    <mergeCell ref="Q119:R119"/>
    <mergeCell ref="A109:P109"/>
    <mergeCell ref="Q109:R109"/>
    <mergeCell ref="Q110:R110"/>
    <mergeCell ref="Q111:R111"/>
    <mergeCell ref="Q112:R112"/>
    <mergeCell ref="Q113:R113"/>
    <mergeCell ref="Q103:R103"/>
    <mergeCell ref="Q104:R104"/>
    <mergeCell ref="Q105:R105"/>
    <mergeCell ref="Q106:R106"/>
    <mergeCell ref="Q107:R107"/>
    <mergeCell ref="Q108:R108"/>
    <mergeCell ref="Q97:R97"/>
    <mergeCell ref="Q98:R98"/>
    <mergeCell ref="Q99:R99"/>
    <mergeCell ref="Q100:R100"/>
    <mergeCell ref="Q101:R101"/>
    <mergeCell ref="Q102:R102"/>
    <mergeCell ref="Q92:R92"/>
    <mergeCell ref="N93:O93"/>
    <mergeCell ref="Q93:R93"/>
    <mergeCell ref="Q94:R94"/>
    <mergeCell ref="Q95:R95"/>
    <mergeCell ref="Q96:R96"/>
    <mergeCell ref="Q86:R86"/>
    <mergeCell ref="Q87:R87"/>
    <mergeCell ref="Q88:R88"/>
    <mergeCell ref="Q89:R89"/>
    <mergeCell ref="Q90:R90"/>
    <mergeCell ref="Q91:R91"/>
    <mergeCell ref="Q80:R80"/>
    <mergeCell ref="Q81:R81"/>
    <mergeCell ref="Q82:R82"/>
    <mergeCell ref="Q83:R83"/>
    <mergeCell ref="Q84:R84"/>
    <mergeCell ref="Q85:R85"/>
    <mergeCell ref="Q74:R74"/>
    <mergeCell ref="Q75:R75"/>
    <mergeCell ref="Q76:R76"/>
    <mergeCell ref="Q77:R77"/>
    <mergeCell ref="Q78:R78"/>
    <mergeCell ref="Q79:R79"/>
    <mergeCell ref="Q57:R57"/>
    <mergeCell ref="Q58:R58"/>
    <mergeCell ref="Q59:R59"/>
    <mergeCell ref="Q60:R60"/>
    <mergeCell ref="Q63:R63"/>
    <mergeCell ref="A73:P73"/>
    <mergeCell ref="Q73:R73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</mergeCells>
  <printOptions horizontalCentered="1"/>
  <pageMargins left="0.39370078740157483" right="0.39370078740157483" top="0.6692913385826772" bottom="0.6692913385826772" header="0.11811023622047245" footer="0"/>
  <pageSetup paperSize="9" scale="52" fitToHeight="7" orientation="landscape" r:id="rId1"/>
  <rowBreaks count="2" manualBreakCount="2">
    <brk id="37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216"/>
  <sheetViews>
    <sheetView showWhiteSpace="0" view="pageBreakPreview" topLeftCell="A153" zoomScale="55" zoomScaleNormal="75" zoomScaleSheetLayoutView="55" workbookViewId="0">
      <selection activeCell="J109" sqref="J109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170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171</v>
      </c>
      <c r="K3" s="353" t="s">
        <v>6</v>
      </c>
      <c r="L3" s="169"/>
      <c r="M3" s="170"/>
      <c r="N3" s="169"/>
      <c r="O3" s="353" t="s">
        <v>7</v>
      </c>
      <c r="P3" s="355" t="s">
        <v>172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 t="shared" ref="I6:N6" si="0">I8+I70+I105+I149+I182</f>
        <v>123356795.70000002</v>
      </c>
      <c r="J6" s="160">
        <f t="shared" si="0"/>
        <v>11267360.769999998</v>
      </c>
      <c r="K6" s="160">
        <f t="shared" si="0"/>
        <v>112089434.93000004</v>
      </c>
      <c r="L6" s="160" t="e">
        <f t="shared" si="0"/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0</v>
      </c>
      <c r="P6" s="163">
        <f>J6/I6*100</f>
        <v>9.1339603189773815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I9+I61+I67</f>
        <v>24532970.260000002</v>
      </c>
      <c r="J8" s="9">
        <f>J9+J61+J67</f>
        <v>2157067.5300000003</v>
      </c>
      <c r="K8" s="9">
        <f>K9+K61+K67</f>
        <v>22375902.730000004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 t="shared" ref="O8:O12" si="1">I8-J8-K8</f>
        <v>0</v>
      </c>
      <c r="P8" s="12">
        <f>J8/I8*100</f>
        <v>8.7925249455709409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</f>
        <v>24304157.370000001</v>
      </c>
      <c r="J9" s="157">
        <f>J10+J41+J46+J48+J50+J53+J59+J56</f>
        <v>2157067.5300000003</v>
      </c>
      <c r="K9" s="157">
        <f>K10+K41+K46+K48+K50+K53+K59+K56</f>
        <v>22147089.840000004</v>
      </c>
      <c r="L9" s="14" t="e">
        <f>L10+L41+L46+L48+L50+L53+L59+L56+L61+L67+#REF!</f>
        <v>#REF!</v>
      </c>
      <c r="M9" s="14" t="e">
        <f>M10+M41+M46+M48+M50+M53+M59+M56+M61+M67+#REF!</f>
        <v>#REF!</v>
      </c>
      <c r="N9" s="14" t="e">
        <f>N10+N41+N46+N48+N50+N53+N59+N56+N61+N67+#REF!</f>
        <v>#REF!</v>
      </c>
      <c r="O9" s="95">
        <f>I9-J9-K9</f>
        <v>0</v>
      </c>
      <c r="P9" s="96">
        <f t="shared" ref="P9:P60" si="2">J9/I9*100</f>
        <v>8.8753026783088185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 t="shared" ref="I10:N12" si="3">I11</f>
        <v>10906429.09</v>
      </c>
      <c r="J10" s="17">
        <f t="shared" si="3"/>
        <v>746171.1399999999</v>
      </c>
      <c r="K10" s="17">
        <f t="shared" si="3"/>
        <v>10160257.950000001</v>
      </c>
      <c r="L10" s="17" t="e">
        <f t="shared" si="3"/>
        <v>#REF!</v>
      </c>
      <c r="M10" s="17">
        <f t="shared" si="3"/>
        <v>0</v>
      </c>
      <c r="N10" s="17">
        <f t="shared" si="3"/>
        <v>0</v>
      </c>
      <c r="O10" s="20">
        <f t="shared" si="1"/>
        <v>0</v>
      </c>
      <c r="P10" s="21">
        <f t="shared" si="2"/>
        <v>6.841571460673201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10906429.09</v>
      </c>
      <c r="J11" s="28">
        <f t="shared" si="3"/>
        <v>746171.1399999999</v>
      </c>
      <c r="K11" s="33">
        <f t="shared" si="3"/>
        <v>10160257.950000001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si="1"/>
        <v>0</v>
      </c>
      <c r="P11" s="31">
        <f t="shared" si="2"/>
        <v>6.841571460673201</v>
      </c>
      <c r="Q11" s="352"/>
      <c r="R11" s="352"/>
    </row>
    <row r="12" spans="1:50" ht="23.25" customHeight="1" x14ac:dyDescent="0.2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 t="shared" si="3"/>
        <v>10906429.09</v>
      </c>
      <c r="J12" s="35">
        <f>J13</f>
        <v>746171.1399999999</v>
      </c>
      <c r="K12" s="35">
        <f>K13</f>
        <v>10160257.950000001</v>
      </c>
      <c r="L12" s="87" t="e">
        <f>L13</f>
        <v>#REF!</v>
      </c>
      <c r="M12" s="176"/>
      <c r="N12" s="177"/>
      <c r="O12" s="88">
        <f t="shared" si="1"/>
        <v>0</v>
      </c>
      <c r="P12" s="154">
        <f t="shared" si="2"/>
        <v>6.841571460673201</v>
      </c>
      <c r="Q12" s="352"/>
      <c r="R12" s="352"/>
    </row>
    <row r="13" spans="1:50" ht="56.25" x14ac:dyDescent="0.25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10906429.09</v>
      </c>
      <c r="J13" s="35">
        <f>J14+J32</f>
        <v>746171.1399999999</v>
      </c>
      <c r="K13" s="35">
        <f>K14+K32+K28</f>
        <v>10160257.950000001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154">
        <f t="shared" si="2"/>
        <v>6.841571460673201</v>
      </c>
      <c r="Q13" s="352"/>
      <c r="R13" s="352"/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 t="shared" ref="I14:P14" si="4">I15+I22+I27+I29+I30+I31+I21+I18+I28</f>
        <v>9406230.3200000003</v>
      </c>
      <c r="J14" s="28">
        <f t="shared" si="4"/>
        <v>675046.94</v>
      </c>
      <c r="K14" s="28">
        <f t="shared" si="4"/>
        <v>8731183.3800000008</v>
      </c>
      <c r="L14" s="28" t="e">
        <f t="shared" si="4"/>
        <v>#REF!</v>
      </c>
      <c r="M14" s="28">
        <f t="shared" si="4"/>
        <v>3906771.89</v>
      </c>
      <c r="N14" s="28">
        <f t="shared" si="4"/>
        <v>-5840174.7400000002</v>
      </c>
      <c r="O14" s="28">
        <f t="shared" si="4"/>
        <v>0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196306.78</v>
      </c>
      <c r="K15" s="28">
        <f>K16+K17</f>
        <v>2727065.68</v>
      </c>
      <c r="L15" s="28">
        <f t="shared" ref="L15:N15" si="5">L16+L17+L18</f>
        <v>-1888402.85</v>
      </c>
      <c r="M15" s="28">
        <f t="shared" si="5"/>
        <v>3951771.89</v>
      </c>
      <c r="N15" s="28">
        <f t="shared" si="5"/>
        <v>-5840174.7400000002</v>
      </c>
      <c r="O15" s="28">
        <f>O16+O17</f>
        <v>0</v>
      </c>
      <c r="P15" s="155">
        <f>J15/I15*100</f>
        <v>6.715079336828671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178">
        <v>2238335.23</v>
      </c>
      <c r="J16" s="100">
        <v>174966.19</v>
      </c>
      <c r="K16" s="100">
        <f>I16-J16</f>
        <v>2063369.04</v>
      </c>
      <c r="L16" s="100">
        <f t="shared" ref="L16:N16" si="6">J16-K16</f>
        <v>-1888402.85</v>
      </c>
      <c r="M16" s="100">
        <f t="shared" si="6"/>
        <v>3951771.89</v>
      </c>
      <c r="N16" s="100">
        <f t="shared" si="6"/>
        <v>-5840174.7400000002</v>
      </c>
      <c r="O16" s="153">
        <f>I16-J16-K16</f>
        <v>0</v>
      </c>
      <c r="P16" s="154">
        <f t="shared" si="2"/>
        <v>7.8168000777971054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35">
        <v>685037.23</v>
      </c>
      <c r="J17" s="35">
        <v>21340.59</v>
      </c>
      <c r="K17" s="100">
        <f>I17-J17</f>
        <v>663696.64000000001</v>
      </c>
      <c r="L17" s="165"/>
      <c r="M17" s="176"/>
      <c r="N17" s="177"/>
      <c r="O17" s="153">
        <f t="shared" ref="O17:O21" si="7">I17-J17-K17</f>
        <v>0</v>
      </c>
      <c r="P17" s="154">
        <f t="shared" si="2"/>
        <v>3.1152452838220195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28">
        <f>I19+I20</f>
        <v>15000</v>
      </c>
      <c r="J18" s="28">
        <f t="shared" ref="J18:O18" si="8">J19+J20</f>
        <v>0</v>
      </c>
      <c r="K18" s="28">
        <f t="shared" si="8"/>
        <v>15000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2"/>
        <v>0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35">
        <v>0</v>
      </c>
      <c r="J19" s="35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2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35">
        <v>15000</v>
      </c>
      <c r="J20" s="35">
        <v>0</v>
      </c>
      <c r="K20" s="35">
        <f t="shared" si="9"/>
        <v>15000</v>
      </c>
      <c r="L20" s="28"/>
      <c r="M20" s="28"/>
      <c r="N20" s="28"/>
      <c r="O20" s="35">
        <f t="shared" si="7"/>
        <v>0</v>
      </c>
      <c r="P20" s="154">
        <f t="shared" si="2"/>
        <v>0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28">
        <v>30000</v>
      </c>
      <c r="J21" s="28">
        <v>2136.36</v>
      </c>
      <c r="K21" s="28">
        <f t="shared" si="9"/>
        <v>27863.64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2"/>
        <v>7.1212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28">
        <f>I23+I25+I26+I24</f>
        <v>5294109.8599999994</v>
      </c>
      <c r="J22" s="28">
        <f t="shared" ref="J22:P22" si="10">J23+J25+J26+J24</f>
        <v>476603.8</v>
      </c>
      <c r="K22" s="28">
        <f t="shared" si="10"/>
        <v>4817506.0600000005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27.354636515085041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35">
        <v>155350.32</v>
      </c>
      <c r="J23" s="35">
        <v>10095.700000000001</v>
      </c>
      <c r="K23" s="35">
        <f>I23-J23</f>
        <v>145254.62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2"/>
        <v>6.498667012723244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35">
        <v>100000</v>
      </c>
      <c r="J24" s="35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2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35">
        <v>2218116.29</v>
      </c>
      <c r="J25" s="35">
        <v>448258.1</v>
      </c>
      <c r="K25" s="35">
        <f>I25-J25</f>
        <v>1769858.19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2"/>
        <v>20.208953967873342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35">
        <v>2820643.25</v>
      </c>
      <c r="J26" s="35">
        <v>18250</v>
      </c>
      <c r="K26" s="23">
        <f t="shared" si="11"/>
        <v>2802393.25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2"/>
        <v>0.64701553448845406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35">
        <v>1143485.76</v>
      </c>
      <c r="J27" s="35">
        <v>0</v>
      </c>
      <c r="K27" s="23">
        <f t="shared" si="11"/>
        <v>1143485.76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2"/>
        <v>0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35">
        <v>0</v>
      </c>
      <c r="J28" s="35">
        <v>0</v>
      </c>
      <c r="K28" s="23">
        <f t="shared" si="11"/>
        <v>0</v>
      </c>
      <c r="L28" s="24">
        <f t="shared" si="13"/>
        <v>30000</v>
      </c>
      <c r="M28" s="182"/>
      <c r="N28" s="183"/>
      <c r="O28" s="25">
        <f t="shared" si="12"/>
        <v>0</v>
      </c>
      <c r="P28" s="26" t="e">
        <f t="shared" si="2"/>
        <v>#DIV/0!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36">
        <f>5000-5000</f>
        <v>0</v>
      </c>
      <c r="J29" s="168">
        <v>0</v>
      </c>
      <c r="K29" s="23">
        <f t="shared" si="11"/>
        <v>0</v>
      </c>
      <c r="L29" s="38">
        <v>15000</v>
      </c>
      <c r="M29" s="182">
        <f>J29-L29</f>
        <v>-15000</v>
      </c>
      <c r="N29" s="183"/>
      <c r="O29" s="25">
        <f t="shared" si="12"/>
        <v>0</v>
      </c>
      <c r="P29" s="26" t="e">
        <f t="shared" si="2"/>
        <v>#DIV/0!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35">
        <v>262.24</v>
      </c>
      <c r="J30" s="168">
        <v>0</v>
      </c>
      <c r="K30" s="23">
        <f t="shared" si="11"/>
        <v>262.24</v>
      </c>
      <c r="L30" s="38">
        <v>30000</v>
      </c>
      <c r="M30" s="182">
        <f>J30-L30</f>
        <v>-30000</v>
      </c>
      <c r="N30" s="183"/>
      <c r="O30" s="25">
        <f t="shared" si="12"/>
        <v>0</v>
      </c>
      <c r="P30" s="26">
        <f t="shared" si="2"/>
        <v>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35">
        <v>0</v>
      </c>
      <c r="J31" s="168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2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28">
        <f>I34+I33+I37+I38+I39+I40+I35+I36</f>
        <v>1500198.77</v>
      </c>
      <c r="J32" s="28">
        <f>J34+J33+J37+J38+J39+J40+J35+J36</f>
        <v>71124.2</v>
      </c>
      <c r="K32" s="33">
        <f>K34+K33+K37+K38+K39+K40+K35+K36</f>
        <v>1429074.5699999998</v>
      </c>
      <c r="L32" s="33" t="e">
        <f t="shared" ref="L32:O32" si="14">L34+L33+L37+L38+L39+L40</f>
        <v>#REF!</v>
      </c>
      <c r="M32" s="33">
        <f t="shared" si="14"/>
        <v>-4634750</v>
      </c>
      <c r="N32" s="33">
        <f t="shared" si="14"/>
        <v>0</v>
      </c>
      <c r="O32" s="33">
        <f t="shared" si="14"/>
        <v>0</v>
      </c>
      <c r="P32" s="31">
        <f t="shared" si="2"/>
        <v>4.740985089595827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35">
        <v>393981.41</v>
      </c>
      <c r="J33" s="35">
        <v>30319.200000000001</v>
      </c>
      <c r="K33" s="23">
        <f>I33-J33</f>
        <v>363662.20999999996</v>
      </c>
      <c r="L33" s="39" t="e">
        <f>#REF!+#REF!+L74+#REF!+#REF!</f>
        <v>#REF!</v>
      </c>
      <c r="M33" s="182"/>
      <c r="N33" s="183"/>
      <c r="O33" s="25">
        <f t="shared" si="12"/>
        <v>0</v>
      </c>
      <c r="P33" s="26">
        <f t="shared" si="2"/>
        <v>7.695591525498628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35">
        <v>40000</v>
      </c>
      <c r="J34" s="35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-2317375</v>
      </c>
      <c r="N34" s="23">
        <f t="shared" si="16"/>
        <v>0</v>
      </c>
      <c r="O34" s="25">
        <f t="shared" si="12"/>
        <v>0</v>
      </c>
      <c r="P34" s="26">
        <f t="shared" si="2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35">
        <v>0</v>
      </c>
      <c r="J35" s="100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2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35">
        <v>0</v>
      </c>
      <c r="J36" s="100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2"/>
        <v>#DIV/0!</v>
      </c>
      <c r="Q36" s="150"/>
      <c r="R36" s="151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35">
        <v>150000</v>
      </c>
      <c r="J37" s="100">
        <v>39557</v>
      </c>
      <c r="K37" s="23">
        <f t="shared" si="15"/>
        <v>110443</v>
      </c>
      <c r="L37" s="38">
        <v>1178466</v>
      </c>
      <c r="M37" s="182">
        <f>J37-L37</f>
        <v>-1138909</v>
      </c>
      <c r="N37" s="183"/>
      <c r="O37" s="25">
        <f t="shared" si="12"/>
        <v>0</v>
      </c>
      <c r="P37" s="26">
        <f t="shared" si="2"/>
        <v>26.371333333333336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35">
        <v>90000</v>
      </c>
      <c r="J38" s="100">
        <v>0</v>
      </c>
      <c r="K38" s="23">
        <f t="shared" si="15"/>
        <v>90000</v>
      </c>
      <c r="L38" s="38">
        <v>1178466</v>
      </c>
      <c r="M38" s="182">
        <f>J38-L38</f>
        <v>-1178466</v>
      </c>
      <c r="N38" s="183"/>
      <c r="O38" s="25">
        <f t="shared" si="12"/>
        <v>0</v>
      </c>
      <c r="P38" s="26">
        <f t="shared" si="2"/>
        <v>0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35">
        <v>786217.36</v>
      </c>
      <c r="J39" s="100">
        <v>1248</v>
      </c>
      <c r="K39" s="23">
        <f t="shared" si="15"/>
        <v>784969.36</v>
      </c>
      <c r="L39" s="38"/>
      <c r="M39" s="182"/>
      <c r="N39" s="183"/>
      <c r="O39" s="25">
        <f t="shared" si="12"/>
        <v>0</v>
      </c>
      <c r="P39" s="26">
        <f t="shared" si="2"/>
        <v>0.15873472954095036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36">
        <v>40000</v>
      </c>
      <c r="J40" s="100">
        <v>0</v>
      </c>
      <c r="K40" s="23">
        <f>I40-J40</f>
        <v>40000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0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11327.779999999999</v>
      </c>
      <c r="K41" s="17">
        <f>K42+K44+K45+K43</f>
        <v>590128.06000000006</v>
      </c>
      <c r="L41" s="42"/>
      <c r="M41" s="186"/>
      <c r="N41" s="187"/>
      <c r="O41" s="20">
        <f>I41-K41-J41</f>
        <v>-8.7311491370201111E-11</v>
      </c>
      <c r="P41" s="21">
        <f>J41/I41*100</f>
        <v>1.8833934674239758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35">
        <v>469250.7</v>
      </c>
      <c r="J42" s="35">
        <v>8527.48</v>
      </c>
      <c r="K42" s="35">
        <f>I42-J42</f>
        <v>460723.22000000003</v>
      </c>
      <c r="L42" s="45"/>
      <c r="M42" s="188"/>
      <c r="N42" s="189"/>
      <c r="O42" s="25">
        <f>I42-K42-J42</f>
        <v>-1.8189894035458565E-11</v>
      </c>
      <c r="P42" s="26">
        <f t="shared" si="2"/>
        <v>1.8172546146441548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35">
        <v>75871.14</v>
      </c>
      <c r="J43" s="100">
        <v>2575.3000000000002</v>
      </c>
      <c r="K43" s="35">
        <f>I43-J43</f>
        <v>73295.839999999997</v>
      </c>
      <c r="L43" s="45"/>
      <c r="M43" s="188"/>
      <c r="N43" s="189"/>
      <c r="O43" s="25"/>
      <c r="P43" s="26">
        <f t="shared" si="2"/>
        <v>3.3943077697264075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35">
        <v>51834</v>
      </c>
      <c r="J44" s="100">
        <v>0</v>
      </c>
      <c r="K44" s="35">
        <f t="shared" ref="K44:K45" si="17">I44-J44</f>
        <v>51834</v>
      </c>
      <c r="L44" s="45"/>
      <c r="M44" s="188"/>
      <c r="N44" s="189"/>
      <c r="O44" s="25">
        <f>I44-K44-J44</f>
        <v>0</v>
      </c>
      <c r="P44" s="26">
        <f t="shared" si="2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35">
        <v>4500</v>
      </c>
      <c r="J45" s="35">
        <v>225</v>
      </c>
      <c r="K45" s="35">
        <f t="shared" si="17"/>
        <v>4275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2"/>
        <v>5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0</v>
      </c>
      <c r="K46" s="17">
        <f>K47</f>
        <v>1250000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2"/>
        <v>0</v>
      </c>
      <c r="Q46" s="336"/>
      <c r="R46" s="33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35">
        <v>1250000</v>
      </c>
      <c r="J47" s="35">
        <v>0</v>
      </c>
      <c r="K47" s="23">
        <f>I47-J47</f>
        <v>1250000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2"/>
        <v>0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1388093.11</v>
      </c>
      <c r="K48" s="17">
        <f t="shared" si="21"/>
        <v>10056459.690000001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12.128854086810627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35">
        <v>11444552.800000001</v>
      </c>
      <c r="J49" s="100">
        <v>1388093.11</v>
      </c>
      <c r="K49" s="36">
        <f>I49-J49</f>
        <v>10056459.690000001</v>
      </c>
      <c r="L49" s="37"/>
      <c r="M49" s="182"/>
      <c r="N49" s="183"/>
      <c r="O49" s="25">
        <f>I49-J49-K49</f>
        <v>0</v>
      </c>
      <c r="P49" s="26">
        <f>J49/I49*100</f>
        <v>12.128854086810627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844.80000000000007</v>
      </c>
      <c r="K50" s="17">
        <f t="shared" si="23"/>
        <v>12524.22</v>
      </c>
      <c r="L50" s="42"/>
      <c r="M50" s="186"/>
      <c r="N50" s="187"/>
      <c r="O50" s="20">
        <f>I50-J50-K50</f>
        <v>0</v>
      </c>
      <c r="P50" s="21">
        <f t="shared" si="2"/>
        <v>6.3190869637415465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35">
        <v>10268.07</v>
      </c>
      <c r="J51" s="100">
        <v>648.84</v>
      </c>
      <c r="K51" s="35">
        <f>I51-J51</f>
        <v>9619.23</v>
      </c>
      <c r="L51" s="93"/>
      <c r="M51" s="188"/>
      <c r="N51" s="189"/>
      <c r="O51" s="25">
        <f t="shared" ref="O51:O52" si="24">I51-J51-K51</f>
        <v>0</v>
      </c>
      <c r="P51" s="26">
        <f t="shared" si="2"/>
        <v>6.3190063955543749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35">
        <v>3100.95</v>
      </c>
      <c r="J52" s="100">
        <v>195.96</v>
      </c>
      <c r="K52" s="35">
        <f>I52-J52</f>
        <v>2904.99</v>
      </c>
      <c r="L52" s="93"/>
      <c r="M52" s="188"/>
      <c r="N52" s="189"/>
      <c r="O52" s="25">
        <f t="shared" si="24"/>
        <v>0</v>
      </c>
      <c r="P52" s="26">
        <f t="shared" si="2"/>
        <v>6.3193537464325464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10630.7</v>
      </c>
      <c r="K53" s="17">
        <f t="shared" si="25"/>
        <v>77719.92</v>
      </c>
      <c r="L53" s="42"/>
      <c r="M53" s="186"/>
      <c r="N53" s="187"/>
      <c r="O53" s="20">
        <f>I53-J53-K53</f>
        <v>0</v>
      </c>
      <c r="P53" s="21">
        <f t="shared" si="2"/>
        <v>12.032399999003971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35">
        <v>67857.62</v>
      </c>
      <c r="J54" s="100">
        <v>8164.9</v>
      </c>
      <c r="K54" s="35">
        <f>I54-J54</f>
        <v>59692.719999999994</v>
      </c>
      <c r="L54" s="93"/>
      <c r="M54" s="188"/>
      <c r="N54" s="189"/>
      <c r="O54" s="25">
        <f t="shared" ref="O54:O55" si="26">I54-J54-K54</f>
        <v>0</v>
      </c>
      <c r="P54" s="26">
        <f t="shared" si="2"/>
        <v>12.032399603758575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35">
        <v>20493</v>
      </c>
      <c r="J55" s="100">
        <v>2465.8000000000002</v>
      </c>
      <c r="K55" s="35">
        <f>I55-J55</f>
        <v>18027.2</v>
      </c>
      <c r="L55" s="93"/>
      <c r="M55" s="188"/>
      <c r="N55" s="189"/>
      <c r="O55" s="25">
        <f t="shared" si="26"/>
        <v>0</v>
      </c>
      <c r="P55" s="26">
        <f t="shared" si="2"/>
        <v>12.032401307763628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2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2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2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2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2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I62+I63+I64+I65+I66</f>
        <v>208651</v>
      </c>
      <c r="J61" s="17">
        <f t="shared" ref="J61:K61" si="30">J62+J63+J64+J65+J66</f>
        <v>0</v>
      </c>
      <c r="K61" s="17">
        <f t="shared" si="30"/>
        <v>208651</v>
      </c>
      <c r="L61" s="42"/>
      <c r="M61" s="186"/>
      <c r="N61" s="187"/>
      <c r="O61" s="20">
        <f>I61-J61-K61</f>
        <v>0</v>
      </c>
      <c r="P61" s="21">
        <f>J61/I61*100</f>
        <v>0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2" customFormat="1" ht="18.75" x14ac:dyDescent="0.25">
      <c r="A62" s="191" t="s">
        <v>43</v>
      </c>
      <c r="B62" s="22" t="s">
        <v>9</v>
      </c>
      <c r="C62" s="22" t="s">
        <v>12</v>
      </c>
      <c r="D62" s="22" t="s">
        <v>12</v>
      </c>
      <c r="E62" s="22" t="s">
        <v>134</v>
      </c>
      <c r="F62" s="22" t="s">
        <v>22</v>
      </c>
      <c r="G62" s="22" t="s">
        <v>44</v>
      </c>
      <c r="H62" s="22"/>
      <c r="I62" s="35">
        <v>190000</v>
      </c>
      <c r="J62" s="100">
        <v>0</v>
      </c>
      <c r="K62" s="34">
        <f>I62-J62</f>
        <v>190000</v>
      </c>
      <c r="L62" s="34" t="e">
        <f>#REF!</f>
        <v>#REF!</v>
      </c>
      <c r="M62" s="34" t="e">
        <f>#REF!</f>
        <v>#REF!</v>
      </c>
      <c r="N62" s="34" t="e">
        <f>#REF!</f>
        <v>#REF!</v>
      </c>
      <c r="O62" s="25">
        <f t="shared" ref="O62:O64" si="31">I62-J62-K62</f>
        <v>0</v>
      </c>
      <c r="P62" s="26">
        <f t="shared" ref="P62:P66" si="32">J62/I62*100</f>
        <v>0</v>
      </c>
      <c r="Q62" s="325"/>
      <c r="R62" s="326"/>
      <c r="S62" s="1"/>
      <c r="T62" s="15"/>
      <c r="U62" s="15"/>
      <c r="V62" s="15"/>
      <c r="W62" s="15"/>
      <c r="X62" s="15"/>
      <c r="Y62" s="15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2" customFormat="1" ht="37.5" x14ac:dyDescent="0.25">
      <c r="A63" s="175" t="s">
        <v>106</v>
      </c>
      <c r="B63" s="22" t="s">
        <v>9</v>
      </c>
      <c r="C63" s="22" t="s">
        <v>12</v>
      </c>
      <c r="D63" s="22" t="s">
        <v>14</v>
      </c>
      <c r="E63" s="22" t="s">
        <v>134</v>
      </c>
      <c r="F63" s="22" t="s">
        <v>22</v>
      </c>
      <c r="G63" s="22" t="s">
        <v>101</v>
      </c>
      <c r="H63" s="22"/>
      <c r="I63" s="35">
        <v>5000</v>
      </c>
      <c r="J63" s="35">
        <v>0</v>
      </c>
      <c r="K63" s="34">
        <f t="shared" ref="K63:K66" si="33">I63-J63</f>
        <v>5000</v>
      </c>
      <c r="L63" s="38">
        <v>107900</v>
      </c>
      <c r="M63" s="182"/>
      <c r="N63" s="183"/>
      <c r="O63" s="25">
        <f t="shared" si="31"/>
        <v>0</v>
      </c>
      <c r="P63" s="26">
        <f t="shared" si="32"/>
        <v>0</v>
      </c>
      <c r="Q63" s="325"/>
      <c r="R63" s="32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8.75" x14ac:dyDescent="0.25">
      <c r="A64" s="99" t="s">
        <v>113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114</v>
      </c>
      <c r="H64" s="22"/>
      <c r="I64" s="35">
        <v>0</v>
      </c>
      <c r="J64" s="100">
        <v>0</v>
      </c>
      <c r="K64" s="34">
        <f t="shared" si="33"/>
        <v>0</v>
      </c>
      <c r="L64" s="45"/>
      <c r="M64" s="188"/>
      <c r="N64" s="189"/>
      <c r="O64" s="25">
        <f t="shared" si="31"/>
        <v>0</v>
      </c>
      <c r="P64" s="26" t="e">
        <f t="shared" si="32"/>
        <v>#DIV/0!</v>
      </c>
      <c r="Q64" s="325"/>
      <c r="R64" s="326"/>
    </row>
    <row r="65" spans="1:50" s="15" customFormat="1" ht="37.5" x14ac:dyDescent="0.25">
      <c r="A65" s="175" t="s">
        <v>109</v>
      </c>
      <c r="B65" s="22" t="s">
        <v>9</v>
      </c>
      <c r="C65" s="22" t="s">
        <v>12</v>
      </c>
      <c r="D65" s="22" t="s">
        <v>12</v>
      </c>
      <c r="E65" s="22" t="s">
        <v>134</v>
      </c>
      <c r="F65" s="22" t="s">
        <v>22</v>
      </c>
      <c r="G65" s="22" t="s">
        <v>104</v>
      </c>
      <c r="H65" s="22"/>
      <c r="I65" s="35">
        <v>13651</v>
      </c>
      <c r="J65" s="100">
        <v>0</v>
      </c>
      <c r="K65" s="34">
        <f t="shared" si="33"/>
        <v>13651</v>
      </c>
      <c r="L65" s="38">
        <v>1178466</v>
      </c>
      <c r="M65" s="182">
        <f>J65-L65</f>
        <v>-1178466</v>
      </c>
      <c r="N65" s="183"/>
      <c r="O65" s="25">
        <f>I65-J65-K65</f>
        <v>0</v>
      </c>
      <c r="P65" s="26">
        <v>0</v>
      </c>
      <c r="Q65" s="325"/>
      <c r="R65" s="326"/>
    </row>
    <row r="66" spans="1:50" ht="37.5" x14ac:dyDescent="0.25">
      <c r="A66" s="175" t="s">
        <v>110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105</v>
      </c>
      <c r="H66" s="22"/>
      <c r="I66" s="35">
        <v>0</v>
      </c>
      <c r="J66" s="100">
        <v>0</v>
      </c>
      <c r="K66" s="34">
        <f t="shared" si="33"/>
        <v>0</v>
      </c>
      <c r="L66" s="45" t="e">
        <f>L101</f>
        <v>#REF!</v>
      </c>
      <c r="M66" s="192"/>
      <c r="N66" s="193"/>
      <c r="O66" s="25">
        <f>I66-J66-K66</f>
        <v>0</v>
      </c>
      <c r="P66" s="26" t="e">
        <f t="shared" si="32"/>
        <v>#DIV/0!</v>
      </c>
      <c r="Q66" s="325"/>
      <c r="R66" s="326"/>
    </row>
    <row r="67" spans="1:50" ht="121.5" customHeight="1" x14ac:dyDescent="0.25">
      <c r="A67" s="190" t="s">
        <v>64</v>
      </c>
      <c r="B67" s="41" t="s">
        <v>9</v>
      </c>
      <c r="C67" s="41" t="s">
        <v>12</v>
      </c>
      <c r="D67" s="41" t="s">
        <v>12</v>
      </c>
      <c r="E67" s="41" t="s">
        <v>65</v>
      </c>
      <c r="F67" s="41"/>
      <c r="G67" s="41"/>
      <c r="H67" s="41"/>
      <c r="I67" s="17">
        <f>I68</f>
        <v>20161.89</v>
      </c>
      <c r="J67" s="17">
        <f>J68</f>
        <v>0</v>
      </c>
      <c r="K67" s="17">
        <f>K68</f>
        <v>20161.89</v>
      </c>
      <c r="L67" s="42"/>
      <c r="M67" s="186"/>
      <c r="N67" s="187"/>
      <c r="O67" s="20">
        <f>I67-J67-K67</f>
        <v>0</v>
      </c>
      <c r="P67" s="21">
        <f>J67/I67*100</f>
        <v>0</v>
      </c>
      <c r="Q67" s="325"/>
      <c r="R67" s="326"/>
    </row>
    <row r="68" spans="1:50" ht="40.5" customHeight="1" x14ac:dyDescent="0.25">
      <c r="A68" s="175" t="s">
        <v>109</v>
      </c>
      <c r="B68" s="22" t="s">
        <v>9</v>
      </c>
      <c r="C68" s="22" t="s">
        <v>12</v>
      </c>
      <c r="D68" s="22" t="s">
        <v>12</v>
      </c>
      <c r="E68" s="22" t="s">
        <v>66</v>
      </c>
      <c r="F68" s="22" t="s">
        <v>22</v>
      </c>
      <c r="G68" s="22" t="s">
        <v>104</v>
      </c>
      <c r="H68" s="22"/>
      <c r="I68" s="35">
        <v>20161.89</v>
      </c>
      <c r="J68" s="100">
        <v>0</v>
      </c>
      <c r="K68" s="34">
        <f>I68-J68</f>
        <v>20161.89</v>
      </c>
      <c r="L68" s="34" t="e">
        <f>#REF!</f>
        <v>#REF!</v>
      </c>
      <c r="M68" s="34" t="e">
        <f>#REF!</f>
        <v>#REF!</v>
      </c>
      <c r="N68" s="34" t="e">
        <f>#REF!</f>
        <v>#REF!</v>
      </c>
      <c r="O68" s="25">
        <f t="shared" ref="O68" si="34">I68-J68-K68</f>
        <v>0</v>
      </c>
      <c r="P68" s="26">
        <f t="shared" ref="P68" si="35">J68/I68*100</f>
        <v>0</v>
      </c>
      <c r="Q68" s="325"/>
      <c r="R68" s="326"/>
    </row>
    <row r="69" spans="1:50" s="2" customFormat="1" ht="20.25" customHeight="1" x14ac:dyDescent="0.3">
      <c r="A69" s="333" t="s">
        <v>54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40"/>
      <c r="R69" s="340"/>
    </row>
    <row r="70" spans="1:50" ht="19.5" x14ac:dyDescent="0.25">
      <c r="A70" s="173" t="s">
        <v>11</v>
      </c>
      <c r="B70" s="8" t="s">
        <v>9</v>
      </c>
      <c r="C70" s="8" t="s">
        <v>12</v>
      </c>
      <c r="D70" s="8"/>
      <c r="E70" s="8"/>
      <c r="F70" s="8"/>
      <c r="G70" s="8"/>
      <c r="H70" s="8"/>
      <c r="I70" s="9">
        <f t="shared" ref="I70:N70" si="36">I71+I101</f>
        <v>76959910</v>
      </c>
      <c r="J70" s="9">
        <f t="shared" si="36"/>
        <v>8607913.8599999975</v>
      </c>
      <c r="K70" s="9">
        <f t="shared" si="36"/>
        <v>68351996.140000015</v>
      </c>
      <c r="L70" s="9" t="e">
        <f t="shared" si="36"/>
        <v>#REF!</v>
      </c>
      <c r="M70" s="9" t="e">
        <f t="shared" si="36"/>
        <v>#REF!</v>
      </c>
      <c r="N70" s="9" t="e">
        <f t="shared" si="36"/>
        <v>#REF!</v>
      </c>
      <c r="O70" s="11">
        <f>I70-J70-K70</f>
        <v>0</v>
      </c>
      <c r="P70" s="12">
        <f>J70/I70*100</f>
        <v>11.184932336849144</v>
      </c>
      <c r="Q70" s="331"/>
      <c r="R70" s="331"/>
    </row>
    <row r="71" spans="1:50" s="15" customFormat="1" ht="19.5" x14ac:dyDescent="0.25">
      <c r="A71" s="174" t="s">
        <v>13</v>
      </c>
      <c r="B71" s="13" t="s">
        <v>9</v>
      </c>
      <c r="C71" s="13" t="s">
        <v>12</v>
      </c>
      <c r="D71" s="13" t="s">
        <v>14</v>
      </c>
      <c r="E71" s="13"/>
      <c r="F71" s="13"/>
      <c r="G71" s="13"/>
      <c r="H71" s="13"/>
      <c r="I71" s="157">
        <f>I72+I89+I92+I98+I95</f>
        <v>76576834</v>
      </c>
      <c r="J71" s="157">
        <f>J72+J89+J92+J98+J95</f>
        <v>8607913.8599999975</v>
      </c>
      <c r="K71" s="14">
        <f>K72+K89+K92+K98+K95</f>
        <v>67968920.140000015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7">
        <f t="shared" ref="I71:O74" si="37">O72</f>
        <v>0</v>
      </c>
      <c r="P71" s="48">
        <f>J71/I71*100</f>
        <v>11.240885017523704</v>
      </c>
      <c r="Q71" s="331"/>
      <c r="R71" s="331"/>
    </row>
    <row r="72" spans="1:50" s="19" customFormat="1" ht="37.5" x14ac:dyDescent="0.25">
      <c r="A72" s="40" t="s">
        <v>15</v>
      </c>
      <c r="B72" s="41" t="s">
        <v>9</v>
      </c>
      <c r="C72" s="41" t="s">
        <v>12</v>
      </c>
      <c r="D72" s="41" t="s">
        <v>14</v>
      </c>
      <c r="E72" s="41" t="s">
        <v>55</v>
      </c>
      <c r="F72" s="41"/>
      <c r="G72" s="41"/>
      <c r="H72" s="41"/>
      <c r="I72" s="17">
        <f>I73</f>
        <v>73065724.890000001</v>
      </c>
      <c r="J72" s="17">
        <f>J73</f>
        <v>8240561.7199999988</v>
      </c>
      <c r="K72" s="17">
        <f t="shared" si="37"/>
        <v>64825163.170000009</v>
      </c>
      <c r="L72" s="17">
        <f t="shared" si="37"/>
        <v>0</v>
      </c>
      <c r="M72" s="17">
        <f t="shared" si="37"/>
        <v>0</v>
      </c>
      <c r="N72" s="17">
        <f t="shared" si="37"/>
        <v>0</v>
      </c>
      <c r="O72" s="17">
        <f t="shared" si="37"/>
        <v>0</v>
      </c>
      <c r="P72" s="21">
        <f t="shared" ref="P72:P100" si="38">J72/I72*100</f>
        <v>11.278286409128375</v>
      </c>
      <c r="Q72" s="346"/>
      <c r="R72" s="346"/>
    </row>
    <row r="73" spans="1:50" s="15" customFormat="1" ht="56.25" x14ac:dyDescent="0.25">
      <c r="A73" s="194" t="s">
        <v>17</v>
      </c>
      <c r="B73" s="27" t="s">
        <v>9</v>
      </c>
      <c r="C73" s="27" t="s">
        <v>12</v>
      </c>
      <c r="D73" s="27" t="s">
        <v>14</v>
      </c>
      <c r="E73" s="27" t="s">
        <v>55</v>
      </c>
      <c r="F73" s="27"/>
      <c r="G73" s="27"/>
      <c r="H73" s="27"/>
      <c r="I73" s="28">
        <f t="shared" si="37"/>
        <v>73065724.890000001</v>
      </c>
      <c r="J73" s="156">
        <f>J74</f>
        <v>8240561.7199999988</v>
      </c>
      <c r="K73" s="44">
        <f t="shared" si="37"/>
        <v>64825163.170000009</v>
      </c>
      <c r="L73" s="24"/>
      <c r="M73" s="184"/>
      <c r="N73" s="185"/>
      <c r="O73" s="30">
        <f t="shared" ref="O73:O103" si="39">I73-J73-K73</f>
        <v>0</v>
      </c>
      <c r="P73" s="31">
        <f t="shared" si="38"/>
        <v>11.278286409128375</v>
      </c>
      <c r="Q73" s="331"/>
      <c r="R73" s="331"/>
      <c r="S73" s="1"/>
      <c r="T73" s="1"/>
      <c r="U73" s="1"/>
      <c r="V73" s="1"/>
      <c r="W73" s="1"/>
      <c r="X73" s="1"/>
      <c r="Y73" s="1"/>
    </row>
    <row r="74" spans="1:50" s="15" customFormat="1" ht="18.75" x14ac:dyDescent="0.25">
      <c r="A74" s="99" t="s">
        <v>19</v>
      </c>
      <c r="B74" s="22" t="s">
        <v>9</v>
      </c>
      <c r="C74" s="22" t="s">
        <v>12</v>
      </c>
      <c r="D74" s="22" t="s">
        <v>14</v>
      </c>
      <c r="E74" s="22" t="s">
        <v>55</v>
      </c>
      <c r="F74" s="22" t="s">
        <v>20</v>
      </c>
      <c r="G74" s="22"/>
      <c r="H74" s="22"/>
      <c r="I74" s="28">
        <f t="shared" si="37"/>
        <v>73065724.890000001</v>
      </c>
      <c r="J74" s="156">
        <f t="shared" si="37"/>
        <v>8240561.7199999988</v>
      </c>
      <c r="K74" s="44">
        <f t="shared" si="37"/>
        <v>64825163.170000009</v>
      </c>
      <c r="L74" s="38"/>
      <c r="M74" s="184"/>
      <c r="N74" s="185"/>
      <c r="O74" s="30">
        <f t="shared" si="39"/>
        <v>0</v>
      </c>
      <c r="P74" s="31">
        <f t="shared" si="38"/>
        <v>11.278286409128375</v>
      </c>
      <c r="Q74" s="331"/>
      <c r="R74" s="331"/>
      <c r="S74" s="1"/>
      <c r="T74" s="1"/>
      <c r="U74" s="1"/>
      <c r="V74" s="1"/>
      <c r="W74" s="1"/>
      <c r="X74" s="1"/>
      <c r="Y74" s="1"/>
    </row>
    <row r="75" spans="1:50" s="2" customFormat="1" ht="56.25" x14ac:dyDescent="0.25">
      <c r="A75" s="99" t="s">
        <v>21</v>
      </c>
      <c r="B75" s="22" t="s">
        <v>9</v>
      </c>
      <c r="C75" s="22" t="s">
        <v>12</v>
      </c>
      <c r="D75" s="22" t="s">
        <v>14</v>
      </c>
      <c r="E75" s="22" t="s">
        <v>55</v>
      </c>
      <c r="F75" s="22" t="s">
        <v>22</v>
      </c>
      <c r="G75" s="22"/>
      <c r="H75" s="22"/>
      <c r="I75" s="28">
        <f t="shared" ref="I75:N75" si="40">I76+I86</f>
        <v>73065724.890000001</v>
      </c>
      <c r="J75" s="28">
        <f t="shared" si="40"/>
        <v>8240561.7199999988</v>
      </c>
      <c r="K75" s="33">
        <f t="shared" si="40"/>
        <v>64825163.170000009</v>
      </c>
      <c r="L75" s="33" t="e">
        <f t="shared" si="40"/>
        <v>#REF!</v>
      </c>
      <c r="M75" s="33" t="e">
        <f t="shared" si="40"/>
        <v>#REF!</v>
      </c>
      <c r="N75" s="33" t="e">
        <f t="shared" si="40"/>
        <v>#REF!</v>
      </c>
      <c r="O75" s="30">
        <f t="shared" si="39"/>
        <v>0</v>
      </c>
      <c r="P75" s="31">
        <f t="shared" si="38"/>
        <v>11.278286409128375</v>
      </c>
      <c r="Q75" s="331"/>
      <c r="R75" s="33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8.75" x14ac:dyDescent="0.25">
      <c r="A76" s="99" t="s">
        <v>23</v>
      </c>
      <c r="B76" s="22" t="s">
        <v>9</v>
      </c>
      <c r="C76" s="22" t="s">
        <v>12</v>
      </c>
      <c r="D76" s="22" t="s">
        <v>14</v>
      </c>
      <c r="E76" s="22" t="s">
        <v>55</v>
      </c>
      <c r="F76" s="22" t="s">
        <v>22</v>
      </c>
      <c r="G76" s="22" t="s">
        <v>24</v>
      </c>
      <c r="H76" s="22"/>
      <c r="I76" s="28">
        <f>I77+I84+I83+I81</f>
        <v>69842324.890000001</v>
      </c>
      <c r="J76" s="28">
        <f>J77+J84+J83+J81</f>
        <v>8074491.6199999992</v>
      </c>
      <c r="K76" s="33">
        <f>K77+K84+K83+K81</f>
        <v>61767833.270000011</v>
      </c>
      <c r="L76" s="33" t="e">
        <f>L77+L84+#REF!</f>
        <v>#REF!</v>
      </c>
      <c r="M76" s="33" t="e">
        <f>M77+M84+#REF!</f>
        <v>#REF!</v>
      </c>
      <c r="N76" s="33" t="e">
        <f>N77+N84+#REF!</f>
        <v>#REF!</v>
      </c>
      <c r="O76" s="30">
        <f t="shared" si="39"/>
        <v>0</v>
      </c>
      <c r="P76" s="31">
        <f t="shared" si="38"/>
        <v>11.561029265158529</v>
      </c>
      <c r="Q76" s="331"/>
      <c r="R76" s="331"/>
    </row>
    <row r="77" spans="1:50" ht="18.75" x14ac:dyDescent="0.25">
      <c r="A77" s="99" t="s">
        <v>25</v>
      </c>
      <c r="B77" s="22" t="s">
        <v>9</v>
      </c>
      <c r="C77" s="22" t="s">
        <v>12</v>
      </c>
      <c r="D77" s="22" t="s">
        <v>14</v>
      </c>
      <c r="E77" s="22" t="s">
        <v>55</v>
      </c>
      <c r="F77" s="22" t="s">
        <v>22</v>
      </c>
      <c r="G77" s="22" t="s">
        <v>26</v>
      </c>
      <c r="H77" s="22"/>
      <c r="I77" s="28">
        <f>I78+I79+I80</f>
        <v>68906324.890000001</v>
      </c>
      <c r="J77" s="28">
        <f t="shared" ref="J77:K77" si="41">J78+J79+J80</f>
        <v>7887017.1799999997</v>
      </c>
      <c r="K77" s="33">
        <f t="shared" si="41"/>
        <v>61019307.710000008</v>
      </c>
      <c r="L77" s="33" t="e">
        <f>L78+#REF!+L79</f>
        <v>#REF!</v>
      </c>
      <c r="M77" s="33" t="e">
        <f>M78+#REF!+M79</f>
        <v>#REF!</v>
      </c>
      <c r="N77" s="33" t="e">
        <f>N78+#REF!+N79</f>
        <v>#REF!</v>
      </c>
      <c r="O77" s="30">
        <f t="shared" si="39"/>
        <v>0</v>
      </c>
      <c r="P77" s="31">
        <f t="shared" si="38"/>
        <v>11.445998887026116</v>
      </c>
      <c r="Q77" s="331"/>
      <c r="R77" s="331"/>
    </row>
    <row r="78" spans="1:50" ht="18.75" x14ac:dyDescent="0.25">
      <c r="A78" s="99" t="s">
        <v>27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22</v>
      </c>
      <c r="G78" s="22" t="s">
        <v>28</v>
      </c>
      <c r="H78" s="22"/>
      <c r="I78" s="35">
        <v>52865502.990000002</v>
      </c>
      <c r="J78" s="35">
        <v>6555498.0899999999</v>
      </c>
      <c r="K78" s="23">
        <f>I78-J78</f>
        <v>46310004.900000006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5">
        <f t="shared" si="39"/>
        <v>0</v>
      </c>
      <c r="P78" s="26">
        <f t="shared" si="38"/>
        <v>12.400332389233169</v>
      </c>
      <c r="Q78" s="331"/>
      <c r="R78" s="331"/>
    </row>
    <row r="79" spans="1:50" ht="18.75" x14ac:dyDescent="0.25">
      <c r="A79" s="175" t="s">
        <v>29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 t="s">
        <v>30</v>
      </c>
      <c r="H79" s="22"/>
      <c r="I79" s="35">
        <v>9000</v>
      </c>
      <c r="J79" s="35">
        <v>0</v>
      </c>
      <c r="K79" s="23">
        <f t="shared" ref="K79" si="42">I79-J79</f>
        <v>9000</v>
      </c>
      <c r="L79" s="23" t="e">
        <f>#REF!+#REF!</f>
        <v>#REF!</v>
      </c>
      <c r="M79" s="23" t="e">
        <f>#REF!+#REF!</f>
        <v>#REF!</v>
      </c>
      <c r="N79" s="23" t="e">
        <f>#REF!+#REF!</f>
        <v>#REF!</v>
      </c>
      <c r="O79" s="25">
        <f t="shared" si="39"/>
        <v>0</v>
      </c>
      <c r="P79" s="26">
        <f t="shared" si="38"/>
        <v>0</v>
      </c>
      <c r="Q79" s="331"/>
      <c r="R79" s="331"/>
    </row>
    <row r="80" spans="1:50" ht="21.75" customHeight="1" x14ac:dyDescent="0.25">
      <c r="A80" s="175" t="s">
        <v>31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32</v>
      </c>
      <c r="H80" s="22"/>
      <c r="I80" s="35">
        <v>16031821.9</v>
      </c>
      <c r="J80" s="100">
        <v>1331519.0900000001</v>
      </c>
      <c r="K80" s="23">
        <f>I80-J80</f>
        <v>14700302.810000001</v>
      </c>
      <c r="L80" s="24" t="e">
        <f>#REF!</f>
        <v>#REF!</v>
      </c>
      <c r="M80" s="182"/>
      <c r="N80" s="183"/>
      <c r="O80" s="25">
        <f t="shared" si="39"/>
        <v>0</v>
      </c>
      <c r="P80" s="26">
        <f t="shared" si="38"/>
        <v>8.3054758112052145</v>
      </c>
      <c r="Q80" s="343"/>
      <c r="R80" s="343"/>
    </row>
    <row r="81" spans="1:50" ht="21.75" customHeight="1" x14ac:dyDescent="0.25">
      <c r="A81" s="179" t="s">
        <v>33</v>
      </c>
      <c r="B81" s="27" t="s">
        <v>9</v>
      </c>
      <c r="C81" s="27" t="s">
        <v>12</v>
      </c>
      <c r="D81" s="27" t="s">
        <v>14</v>
      </c>
      <c r="E81" s="27" t="s">
        <v>55</v>
      </c>
      <c r="F81" s="27" t="s">
        <v>22</v>
      </c>
      <c r="G81" s="27" t="s">
        <v>34</v>
      </c>
      <c r="H81" s="22"/>
      <c r="I81" s="28">
        <f>I82</f>
        <v>186000</v>
      </c>
      <c r="J81" s="156">
        <f>J82</f>
        <v>12650</v>
      </c>
      <c r="K81" s="33">
        <f t="shared" ref="K81:K82" si="43">I81-J81</f>
        <v>173350</v>
      </c>
      <c r="L81" s="92"/>
      <c r="M81" s="184"/>
      <c r="N81" s="185"/>
      <c r="O81" s="30">
        <f t="shared" si="39"/>
        <v>0</v>
      </c>
      <c r="P81" s="31">
        <f t="shared" si="38"/>
        <v>6.801075268817204</v>
      </c>
      <c r="Q81" s="344"/>
      <c r="R81" s="345"/>
    </row>
    <row r="82" spans="1:50" ht="24" customHeight="1" x14ac:dyDescent="0.25">
      <c r="A82" s="99" t="s">
        <v>43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44</v>
      </c>
      <c r="H82" s="22"/>
      <c r="I82" s="35">
        <v>186000</v>
      </c>
      <c r="J82" s="100">
        <v>12650</v>
      </c>
      <c r="K82" s="23">
        <f t="shared" si="43"/>
        <v>173350</v>
      </c>
      <c r="L82" s="24"/>
      <c r="M82" s="182"/>
      <c r="N82" s="183"/>
      <c r="O82" s="25">
        <f t="shared" si="39"/>
        <v>0</v>
      </c>
      <c r="P82" s="26">
        <f t="shared" si="38"/>
        <v>6.801075268817204</v>
      </c>
      <c r="Q82" s="344"/>
      <c r="R82" s="345"/>
    </row>
    <row r="83" spans="1:50" ht="42" customHeight="1" x14ac:dyDescent="0.25">
      <c r="A83" s="179" t="s">
        <v>93</v>
      </c>
      <c r="B83" s="27" t="s">
        <v>9</v>
      </c>
      <c r="C83" s="27" t="s">
        <v>12</v>
      </c>
      <c r="D83" s="27" t="s">
        <v>14</v>
      </c>
      <c r="E83" s="27" t="s">
        <v>55</v>
      </c>
      <c r="F83" s="27" t="s">
        <v>22</v>
      </c>
      <c r="G83" s="27" t="s">
        <v>94</v>
      </c>
      <c r="H83" s="27"/>
      <c r="I83" s="28">
        <v>220000</v>
      </c>
      <c r="J83" s="156">
        <v>90076.89</v>
      </c>
      <c r="K83" s="28">
        <f>I83-J83</f>
        <v>129923.11</v>
      </c>
      <c r="L83" s="94">
        <v>802458</v>
      </c>
      <c r="M83" s="184">
        <f>L83</f>
        <v>802458</v>
      </c>
      <c r="N83" s="185"/>
      <c r="O83" s="30">
        <f>I83-J83-K83</f>
        <v>0</v>
      </c>
      <c r="P83" s="31">
        <v>0</v>
      </c>
      <c r="Q83" s="344"/>
      <c r="R83" s="345"/>
    </row>
    <row r="84" spans="1:50" ht="18.75" x14ac:dyDescent="0.25">
      <c r="A84" s="179" t="s">
        <v>33</v>
      </c>
      <c r="B84" s="27" t="s">
        <v>9</v>
      </c>
      <c r="C84" s="27" t="s">
        <v>12</v>
      </c>
      <c r="D84" s="27" t="s">
        <v>14</v>
      </c>
      <c r="E84" s="27" t="s">
        <v>55</v>
      </c>
      <c r="F84" s="27" t="s">
        <v>22</v>
      </c>
      <c r="G84" s="27" t="s">
        <v>34</v>
      </c>
      <c r="H84" s="27"/>
      <c r="I84" s="28">
        <f>I85</f>
        <v>530000</v>
      </c>
      <c r="J84" s="28">
        <f t="shared" ref="J84:P84" si="44">J85</f>
        <v>84747.55</v>
      </c>
      <c r="K84" s="28">
        <f t="shared" si="44"/>
        <v>445252.45</v>
      </c>
      <c r="L84" s="28" t="e">
        <f t="shared" si="44"/>
        <v>#REF!</v>
      </c>
      <c r="M84" s="28" t="e">
        <f t="shared" si="44"/>
        <v>#REF!</v>
      </c>
      <c r="N84" s="28" t="e">
        <f t="shared" si="44"/>
        <v>#REF!</v>
      </c>
      <c r="O84" s="28">
        <f t="shared" si="44"/>
        <v>0</v>
      </c>
      <c r="P84" s="28">
        <f t="shared" si="44"/>
        <v>15.990103773584908</v>
      </c>
      <c r="Q84" s="331"/>
      <c r="R84" s="331"/>
    </row>
    <row r="85" spans="1:50" ht="18.75" x14ac:dyDescent="0.25">
      <c r="A85" s="99" t="s">
        <v>43</v>
      </c>
      <c r="B85" s="22" t="s">
        <v>9</v>
      </c>
      <c r="C85" s="22" t="s">
        <v>12</v>
      </c>
      <c r="D85" s="22" t="s">
        <v>14</v>
      </c>
      <c r="E85" s="22" t="s">
        <v>55</v>
      </c>
      <c r="F85" s="22" t="s">
        <v>22</v>
      </c>
      <c r="G85" s="22" t="s">
        <v>44</v>
      </c>
      <c r="H85" s="22"/>
      <c r="I85" s="35">
        <v>530000</v>
      </c>
      <c r="J85" s="35">
        <f>47892.55+36855</f>
        <v>84747.55</v>
      </c>
      <c r="K85" s="35">
        <f>I85-J85</f>
        <v>445252.45</v>
      </c>
      <c r="L85" s="35" t="e">
        <f>L83+#REF!+#REF!</f>
        <v>#REF!</v>
      </c>
      <c r="M85" s="35" t="e">
        <f>M83+#REF!+#REF!</f>
        <v>#REF!</v>
      </c>
      <c r="N85" s="35" t="e">
        <f>N83+#REF!+#REF!</f>
        <v>#REF!</v>
      </c>
      <c r="O85" s="153">
        <f t="shared" si="39"/>
        <v>0</v>
      </c>
      <c r="P85" s="154">
        <f t="shared" si="38"/>
        <v>15.990103773584908</v>
      </c>
      <c r="Q85" s="331"/>
      <c r="R85" s="331"/>
    </row>
    <row r="86" spans="1:50" s="2" customFormat="1" ht="18.75" x14ac:dyDescent="0.25">
      <c r="A86" s="194" t="s">
        <v>45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46</v>
      </c>
      <c r="H86" s="27"/>
      <c r="I86" s="28">
        <f>I87+I88</f>
        <v>3223400</v>
      </c>
      <c r="J86" s="28">
        <f t="shared" ref="J86:N86" si="45">J87+J88</f>
        <v>166070.1</v>
      </c>
      <c r="K86" s="28">
        <f t="shared" si="45"/>
        <v>3057329.9</v>
      </c>
      <c r="L86" s="28" t="e">
        <f t="shared" si="45"/>
        <v>#REF!</v>
      </c>
      <c r="M86" s="28">
        <f t="shared" si="45"/>
        <v>0</v>
      </c>
      <c r="N86" s="28">
        <f t="shared" si="45"/>
        <v>0</v>
      </c>
      <c r="O86" s="88">
        <f t="shared" si="39"/>
        <v>0</v>
      </c>
      <c r="P86" s="155">
        <f t="shared" si="38"/>
        <v>5.1520165043122175</v>
      </c>
      <c r="Q86" s="341"/>
      <c r="R86" s="341"/>
      <c r="S86" s="15"/>
      <c r="T86" s="15"/>
      <c r="U86" s="15"/>
      <c r="V86" s="15"/>
      <c r="W86" s="15"/>
      <c r="X86" s="15"/>
      <c r="Y86" s="1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8.75" x14ac:dyDescent="0.25">
      <c r="A87" s="99" t="s">
        <v>47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48</v>
      </c>
      <c r="H87" s="22"/>
      <c r="I87" s="35">
        <v>2693400</v>
      </c>
      <c r="J87" s="35">
        <v>166070.1</v>
      </c>
      <c r="K87" s="35">
        <f t="shared" ref="K87:K88" si="46">I87-J87</f>
        <v>2527329.9</v>
      </c>
      <c r="L87" s="50" t="e">
        <f>L88+#REF!+#REF!+#REF!+#REF!</f>
        <v>#REF!</v>
      </c>
      <c r="M87" s="176"/>
      <c r="N87" s="177"/>
      <c r="O87" s="153">
        <f t="shared" si="39"/>
        <v>0</v>
      </c>
      <c r="P87" s="154">
        <f t="shared" si="38"/>
        <v>6.1658164401871245</v>
      </c>
      <c r="Q87" s="341"/>
      <c r="R87" s="341"/>
    </row>
    <row r="88" spans="1:50" ht="37.5" x14ac:dyDescent="0.25">
      <c r="A88" s="175" t="s">
        <v>109</v>
      </c>
      <c r="B88" s="22" t="s">
        <v>9</v>
      </c>
      <c r="C88" s="22" t="s">
        <v>12</v>
      </c>
      <c r="D88" s="22" t="s">
        <v>14</v>
      </c>
      <c r="E88" s="22" t="s">
        <v>55</v>
      </c>
      <c r="F88" s="22" t="s">
        <v>22</v>
      </c>
      <c r="G88" s="22" t="s">
        <v>104</v>
      </c>
      <c r="H88" s="22"/>
      <c r="I88" s="35">
        <v>530000</v>
      </c>
      <c r="J88" s="100">
        <v>0</v>
      </c>
      <c r="K88" s="35">
        <f t="shared" si="46"/>
        <v>530000</v>
      </c>
      <c r="L88" s="50" t="e">
        <f>#REF!</f>
        <v>#REF!</v>
      </c>
      <c r="M88" s="176"/>
      <c r="N88" s="177"/>
      <c r="O88" s="153">
        <f t="shared" si="39"/>
        <v>0</v>
      </c>
      <c r="P88" s="154">
        <f t="shared" si="38"/>
        <v>0</v>
      </c>
      <c r="Q88" s="342"/>
      <c r="R88" s="342"/>
    </row>
    <row r="89" spans="1:50" s="2" customFormat="1" ht="118.5" customHeight="1" x14ac:dyDescent="0.25">
      <c r="A89" s="86" t="s">
        <v>130</v>
      </c>
      <c r="B89" s="41" t="s">
        <v>9</v>
      </c>
      <c r="C89" s="41" t="s">
        <v>12</v>
      </c>
      <c r="D89" s="41" t="s">
        <v>14</v>
      </c>
      <c r="E89" s="41" t="s">
        <v>57</v>
      </c>
      <c r="F89" s="41" t="s">
        <v>22</v>
      </c>
      <c r="G89" s="16"/>
      <c r="H89" s="16"/>
      <c r="I89" s="17">
        <f>I90+I91</f>
        <v>254011.41</v>
      </c>
      <c r="J89" s="17">
        <f t="shared" ref="J89:K89" si="47">J90+J91</f>
        <v>23411.059999999998</v>
      </c>
      <c r="K89" s="17">
        <f t="shared" si="47"/>
        <v>230600.34999999998</v>
      </c>
      <c r="L89" s="42"/>
      <c r="M89" s="186"/>
      <c r="N89" s="187"/>
      <c r="O89" s="20">
        <f t="shared" si="39"/>
        <v>0</v>
      </c>
      <c r="P89" s="21">
        <f t="shared" si="38"/>
        <v>9.2165387373740408</v>
      </c>
      <c r="Q89" s="331"/>
      <c r="R89" s="33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2" customFormat="1" ht="18.75" x14ac:dyDescent="0.25">
      <c r="A90" s="175" t="s">
        <v>27</v>
      </c>
      <c r="B90" s="43" t="s">
        <v>9</v>
      </c>
      <c r="C90" s="43" t="s">
        <v>12</v>
      </c>
      <c r="D90" s="43" t="s">
        <v>14</v>
      </c>
      <c r="E90" s="43" t="s">
        <v>57</v>
      </c>
      <c r="F90" s="43" t="s">
        <v>22</v>
      </c>
      <c r="G90" s="43" t="s">
        <v>28</v>
      </c>
      <c r="H90" s="43"/>
      <c r="I90" s="35">
        <v>195093.25</v>
      </c>
      <c r="J90" s="100">
        <v>19688.009999999998</v>
      </c>
      <c r="K90" s="35">
        <f t="shared" ref="K90:K91" si="48">I90-J90</f>
        <v>175405.24</v>
      </c>
      <c r="L90" s="93"/>
      <c r="M90" s="188"/>
      <c r="N90" s="189"/>
      <c r="O90" s="25">
        <f t="shared" si="39"/>
        <v>0</v>
      </c>
      <c r="P90" s="26">
        <f t="shared" si="38"/>
        <v>10.091589534748126</v>
      </c>
      <c r="Q90" s="331"/>
      <c r="R90" s="33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15" customFormat="1" ht="18.75" x14ac:dyDescent="0.25">
      <c r="A91" s="99" t="s">
        <v>31</v>
      </c>
      <c r="B91" s="43" t="s">
        <v>9</v>
      </c>
      <c r="C91" s="43" t="s">
        <v>12</v>
      </c>
      <c r="D91" s="43" t="s">
        <v>14</v>
      </c>
      <c r="E91" s="43" t="s">
        <v>57</v>
      </c>
      <c r="F91" s="43" t="s">
        <v>22</v>
      </c>
      <c r="G91" s="103">
        <v>213</v>
      </c>
      <c r="H91" s="22"/>
      <c r="I91" s="35">
        <v>58918.16</v>
      </c>
      <c r="J91" s="100">
        <v>3723.05</v>
      </c>
      <c r="K91" s="35">
        <f t="shared" si="48"/>
        <v>55195.11</v>
      </c>
      <c r="L91" s="93"/>
      <c r="M91" s="188"/>
      <c r="N91" s="189"/>
      <c r="O91" s="25">
        <f t="shared" si="39"/>
        <v>0</v>
      </c>
      <c r="P91" s="26">
        <f t="shared" si="38"/>
        <v>6.3190194670030424</v>
      </c>
      <c r="Q91" s="331"/>
      <c r="R91" s="331"/>
    </row>
    <row r="92" spans="1:50" s="15" customFormat="1" ht="118.5" customHeight="1" x14ac:dyDescent="0.25">
      <c r="A92" s="86" t="s">
        <v>131</v>
      </c>
      <c r="B92" s="41" t="s">
        <v>9</v>
      </c>
      <c r="C92" s="41" t="s">
        <v>12</v>
      </c>
      <c r="D92" s="41" t="s">
        <v>14</v>
      </c>
      <c r="E92" s="41" t="s">
        <v>57</v>
      </c>
      <c r="F92" s="41" t="s">
        <v>22</v>
      </c>
      <c r="G92" s="16"/>
      <c r="H92" s="16"/>
      <c r="I92" s="17">
        <f>I93+I94</f>
        <v>1678661.9200000002</v>
      </c>
      <c r="J92" s="17">
        <f t="shared" ref="J92:K92" si="49">J93+J94</f>
        <v>201983.21</v>
      </c>
      <c r="K92" s="17">
        <f t="shared" si="49"/>
        <v>1476678.71</v>
      </c>
      <c r="L92" s="42"/>
      <c r="M92" s="186"/>
      <c r="N92" s="187"/>
      <c r="O92" s="20">
        <f t="shared" si="39"/>
        <v>0</v>
      </c>
      <c r="P92" s="21">
        <f t="shared" si="38"/>
        <v>12.032393634091608</v>
      </c>
      <c r="Q92" s="338"/>
      <c r="R92" s="339"/>
    </row>
    <row r="93" spans="1:50" s="15" customFormat="1" ht="18.75" x14ac:dyDescent="0.25">
      <c r="A93" s="175" t="s">
        <v>27</v>
      </c>
      <c r="B93" s="43" t="s">
        <v>9</v>
      </c>
      <c r="C93" s="43" t="s">
        <v>12</v>
      </c>
      <c r="D93" s="43" t="s">
        <v>14</v>
      </c>
      <c r="E93" s="43" t="s">
        <v>57</v>
      </c>
      <c r="F93" s="43" t="s">
        <v>22</v>
      </c>
      <c r="G93" s="43" t="s">
        <v>28</v>
      </c>
      <c r="H93" s="43"/>
      <c r="I93" s="35">
        <v>1289294.8700000001</v>
      </c>
      <c r="J93" s="100">
        <v>155133.03</v>
      </c>
      <c r="K93" s="35">
        <f t="shared" ref="K93:K94" si="50">I93-J93</f>
        <v>1134161.8400000001</v>
      </c>
      <c r="L93" s="93"/>
      <c r="M93" s="188"/>
      <c r="N93" s="189"/>
      <c r="O93" s="25">
        <f t="shared" si="39"/>
        <v>0</v>
      </c>
      <c r="P93" s="26">
        <f t="shared" si="38"/>
        <v>12.032393334505393</v>
      </c>
      <c r="Q93" s="338"/>
      <c r="R93" s="339"/>
    </row>
    <row r="94" spans="1:50" s="15" customFormat="1" ht="18.75" x14ac:dyDescent="0.25">
      <c r="A94" s="99" t="s">
        <v>31</v>
      </c>
      <c r="B94" s="43" t="s">
        <v>9</v>
      </c>
      <c r="C94" s="43" t="s">
        <v>12</v>
      </c>
      <c r="D94" s="43" t="s">
        <v>14</v>
      </c>
      <c r="E94" s="43" t="s">
        <v>57</v>
      </c>
      <c r="F94" s="43" t="s">
        <v>22</v>
      </c>
      <c r="G94" s="103">
        <v>213</v>
      </c>
      <c r="H94" s="22"/>
      <c r="I94" s="35">
        <v>389367.05</v>
      </c>
      <c r="J94" s="100">
        <v>46850.18</v>
      </c>
      <c r="K94" s="35">
        <f t="shared" si="50"/>
        <v>342516.87</v>
      </c>
      <c r="L94" s="93"/>
      <c r="M94" s="188"/>
      <c r="N94" s="189"/>
      <c r="O94" s="25">
        <f t="shared" si="39"/>
        <v>0</v>
      </c>
      <c r="P94" s="26">
        <f t="shared" si="38"/>
        <v>12.032394626098949</v>
      </c>
      <c r="Q94" s="338"/>
      <c r="R94" s="339"/>
    </row>
    <row r="95" spans="1:50" s="15" customFormat="1" ht="118.5" hidden="1" customHeight="1" x14ac:dyDescent="0.25">
      <c r="A95" s="86" t="s">
        <v>131</v>
      </c>
      <c r="B95" s="41" t="s">
        <v>9</v>
      </c>
      <c r="C95" s="41" t="s">
        <v>12</v>
      </c>
      <c r="D95" s="41" t="s">
        <v>14</v>
      </c>
      <c r="E95" s="41" t="s">
        <v>152</v>
      </c>
      <c r="F95" s="41" t="s">
        <v>22</v>
      </c>
      <c r="G95" s="16"/>
      <c r="H95" s="16"/>
      <c r="I95" s="17">
        <f>I96+I97</f>
        <v>0</v>
      </c>
      <c r="J95" s="17">
        <f t="shared" ref="J95:K95" si="51">J96+J97</f>
        <v>0</v>
      </c>
      <c r="K95" s="17">
        <f t="shared" si="51"/>
        <v>0</v>
      </c>
      <c r="L95" s="42"/>
      <c r="M95" s="186"/>
      <c r="N95" s="187"/>
      <c r="O95" s="20">
        <f t="shared" si="39"/>
        <v>0</v>
      </c>
      <c r="P95" s="21" t="e">
        <f t="shared" si="38"/>
        <v>#DIV/0!</v>
      </c>
      <c r="Q95" s="338"/>
      <c r="R95" s="339"/>
    </row>
    <row r="96" spans="1:50" s="15" customFormat="1" ht="18.75" hidden="1" x14ac:dyDescent="0.25">
      <c r="A96" s="175" t="s">
        <v>27</v>
      </c>
      <c r="B96" s="43" t="s">
        <v>9</v>
      </c>
      <c r="C96" s="43" t="s">
        <v>12</v>
      </c>
      <c r="D96" s="43" t="s">
        <v>14</v>
      </c>
      <c r="E96" s="43" t="s">
        <v>152</v>
      </c>
      <c r="F96" s="43" t="s">
        <v>22</v>
      </c>
      <c r="G96" s="43" t="s">
        <v>28</v>
      </c>
      <c r="H96" s="43"/>
      <c r="I96" s="121">
        <v>0</v>
      </c>
      <c r="J96" s="122">
        <v>0</v>
      </c>
      <c r="K96" s="35">
        <f>I96-J96</f>
        <v>0</v>
      </c>
      <c r="L96" s="93"/>
      <c r="M96" s="188"/>
      <c r="N96" s="189"/>
      <c r="O96" s="25">
        <f>I96-J96-K96</f>
        <v>0</v>
      </c>
      <c r="P96" s="26" t="e">
        <f t="shared" si="38"/>
        <v>#DIV/0!</v>
      </c>
      <c r="Q96" s="338"/>
      <c r="R96" s="339"/>
    </row>
    <row r="97" spans="1:50" s="15" customFormat="1" ht="18.75" hidden="1" x14ac:dyDescent="0.25">
      <c r="A97" s="99" t="s">
        <v>31</v>
      </c>
      <c r="B97" s="43" t="s">
        <v>9</v>
      </c>
      <c r="C97" s="43" t="s">
        <v>12</v>
      </c>
      <c r="D97" s="43" t="s">
        <v>14</v>
      </c>
      <c r="E97" s="43" t="s">
        <v>152</v>
      </c>
      <c r="F97" s="43" t="s">
        <v>22</v>
      </c>
      <c r="G97" s="103">
        <v>213</v>
      </c>
      <c r="H97" s="22"/>
      <c r="I97" s="121">
        <v>0</v>
      </c>
      <c r="J97" s="122">
        <v>0</v>
      </c>
      <c r="K97" s="35">
        <f t="shared" ref="K97" si="52">I97-J97</f>
        <v>0</v>
      </c>
      <c r="L97" s="93"/>
      <c r="M97" s="188"/>
      <c r="N97" s="189"/>
      <c r="O97" s="25">
        <f t="shared" si="39"/>
        <v>0</v>
      </c>
      <c r="P97" s="26" t="e">
        <f t="shared" si="38"/>
        <v>#DIV/0!</v>
      </c>
      <c r="Q97" s="338"/>
      <c r="R97" s="339"/>
    </row>
    <row r="98" spans="1:50" s="2" customFormat="1" ht="62.25" customHeight="1" x14ac:dyDescent="0.25">
      <c r="A98" s="190" t="s">
        <v>58</v>
      </c>
      <c r="B98" s="41" t="s">
        <v>9</v>
      </c>
      <c r="C98" s="41" t="s">
        <v>12</v>
      </c>
      <c r="D98" s="41" t="s">
        <v>14</v>
      </c>
      <c r="E98" s="41" t="s">
        <v>59</v>
      </c>
      <c r="F98" s="41" t="s">
        <v>22</v>
      </c>
      <c r="G98" s="41"/>
      <c r="H98" s="41"/>
      <c r="I98" s="17">
        <f>I100+I99</f>
        <v>1578435.78</v>
      </c>
      <c r="J98" s="17">
        <f>J100+J99</f>
        <v>141957.87</v>
      </c>
      <c r="K98" s="17">
        <f>K100+K99</f>
        <v>1436477.91</v>
      </c>
      <c r="L98" s="18"/>
      <c r="M98" s="195"/>
      <c r="N98" s="196"/>
      <c r="O98" s="20">
        <f t="shared" si="39"/>
        <v>0</v>
      </c>
      <c r="P98" s="21">
        <f t="shared" si="38"/>
        <v>8.9935790735813157</v>
      </c>
      <c r="Q98" s="331"/>
      <c r="R98" s="33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28.5" customHeight="1" x14ac:dyDescent="0.25">
      <c r="A99" s="175" t="s">
        <v>167</v>
      </c>
      <c r="B99" s="22" t="s">
        <v>9</v>
      </c>
      <c r="C99" s="22" t="s">
        <v>12</v>
      </c>
      <c r="D99" s="22" t="s">
        <v>14</v>
      </c>
      <c r="E99" s="22" t="s">
        <v>59</v>
      </c>
      <c r="F99" s="22" t="s">
        <v>22</v>
      </c>
      <c r="G99" s="22" t="s">
        <v>146</v>
      </c>
      <c r="H99" s="22"/>
      <c r="I99" s="23">
        <v>249335.78</v>
      </c>
      <c r="J99" s="34">
        <v>17080</v>
      </c>
      <c r="K99" s="34">
        <f>I99-J99</f>
        <v>232255.78</v>
      </c>
      <c r="L99" s="24"/>
      <c r="M99" s="182"/>
      <c r="N99" s="183"/>
      <c r="O99" s="25"/>
      <c r="P99" s="26"/>
      <c r="Q99" s="331"/>
      <c r="R99" s="331"/>
    </row>
    <row r="100" spans="1:50" ht="18.75" x14ac:dyDescent="0.25">
      <c r="A100" s="99" t="s">
        <v>113</v>
      </c>
      <c r="B100" s="22" t="s">
        <v>9</v>
      </c>
      <c r="C100" s="22" t="s">
        <v>12</v>
      </c>
      <c r="D100" s="22" t="s">
        <v>14</v>
      </c>
      <c r="E100" s="22" t="s">
        <v>59</v>
      </c>
      <c r="F100" s="22" t="s">
        <v>22</v>
      </c>
      <c r="G100" s="22" t="s">
        <v>114</v>
      </c>
      <c r="H100" s="22"/>
      <c r="I100" s="35">
        <v>1329100</v>
      </c>
      <c r="J100" s="100">
        <v>124877.87</v>
      </c>
      <c r="K100" s="34">
        <f>I100-J100</f>
        <v>1204222.1299999999</v>
      </c>
      <c r="L100" s="93" t="e">
        <f>#REF!</f>
        <v>#REF!</v>
      </c>
      <c r="M100" s="188"/>
      <c r="N100" s="189"/>
      <c r="O100" s="25">
        <f t="shared" si="39"/>
        <v>0</v>
      </c>
      <c r="P100" s="26">
        <f t="shared" si="38"/>
        <v>9.3956715070348356</v>
      </c>
      <c r="Q100" s="331"/>
      <c r="R100" s="331"/>
    </row>
    <row r="101" spans="1:50" s="15" customFormat="1" ht="117.75" customHeight="1" x14ac:dyDescent="0.25">
      <c r="A101" s="190" t="s">
        <v>73</v>
      </c>
      <c r="B101" s="41" t="s">
        <v>9</v>
      </c>
      <c r="C101" s="41" t="s">
        <v>12</v>
      </c>
      <c r="D101" s="41" t="s">
        <v>12</v>
      </c>
      <c r="E101" s="41" t="s">
        <v>74</v>
      </c>
      <c r="F101" s="41"/>
      <c r="G101" s="41"/>
      <c r="H101" s="41"/>
      <c r="I101" s="17">
        <f>I103+I102</f>
        <v>383076</v>
      </c>
      <c r="J101" s="17">
        <f t="shared" ref="J101:K101" si="53">J103+J102</f>
        <v>0</v>
      </c>
      <c r="K101" s="17">
        <f t="shared" si="53"/>
        <v>383076</v>
      </c>
      <c r="L101" s="18" t="e">
        <f>L103</f>
        <v>#REF!</v>
      </c>
      <c r="M101" s="186"/>
      <c r="N101" s="187"/>
      <c r="O101" s="20">
        <f>I101-J101-K101</f>
        <v>0</v>
      </c>
      <c r="P101" s="21">
        <f>J101/I101*100</f>
        <v>0</v>
      </c>
      <c r="Q101" s="331"/>
      <c r="R101" s="331"/>
      <c r="Z101" s="1"/>
      <c r="AA101" s="1"/>
      <c r="AB101" s="1"/>
      <c r="AC101" s="1"/>
      <c r="AD101" s="1"/>
    </row>
    <row r="102" spans="1:50" s="15" customFormat="1" ht="18.75" x14ac:dyDescent="0.25">
      <c r="A102" s="99" t="s">
        <v>43</v>
      </c>
      <c r="B102" s="22" t="s">
        <v>9</v>
      </c>
      <c r="C102" s="22" t="s">
        <v>12</v>
      </c>
      <c r="D102" s="22" t="s">
        <v>12</v>
      </c>
      <c r="E102" s="22" t="s">
        <v>74</v>
      </c>
      <c r="F102" s="22" t="s">
        <v>22</v>
      </c>
      <c r="G102" s="22" t="s">
        <v>44</v>
      </c>
      <c r="H102" s="27"/>
      <c r="I102" s="35">
        <v>216000</v>
      </c>
      <c r="J102" s="100">
        <v>0</v>
      </c>
      <c r="K102" s="34">
        <f>I102-J102</f>
        <v>216000</v>
      </c>
      <c r="L102" s="24"/>
      <c r="M102" s="182"/>
      <c r="N102" s="183"/>
      <c r="O102" s="30">
        <f t="shared" si="39"/>
        <v>0</v>
      </c>
      <c r="P102" s="31">
        <f>J102/I102*100</f>
        <v>0</v>
      </c>
      <c r="Q102" s="338"/>
      <c r="R102" s="339"/>
      <c r="Z102" s="1"/>
      <c r="AA102" s="1"/>
      <c r="AB102" s="1"/>
      <c r="AC102" s="1"/>
      <c r="AD102" s="1"/>
    </row>
    <row r="103" spans="1:50" ht="18.75" x14ac:dyDescent="0.25">
      <c r="A103" s="99" t="s">
        <v>113</v>
      </c>
      <c r="B103" s="22" t="s">
        <v>9</v>
      </c>
      <c r="C103" s="22" t="s">
        <v>12</v>
      </c>
      <c r="D103" s="22" t="s">
        <v>12</v>
      </c>
      <c r="E103" s="22" t="s">
        <v>74</v>
      </c>
      <c r="F103" s="22" t="s">
        <v>22</v>
      </c>
      <c r="G103" s="22" t="s">
        <v>114</v>
      </c>
      <c r="H103" s="22"/>
      <c r="I103" s="35">
        <v>167076</v>
      </c>
      <c r="J103" s="100">
        <v>0</v>
      </c>
      <c r="K103" s="34">
        <f>I103-J103</f>
        <v>167076</v>
      </c>
      <c r="L103" s="24" t="e">
        <f>#REF!</f>
        <v>#REF!</v>
      </c>
      <c r="M103" s="182"/>
      <c r="N103" s="183"/>
      <c r="O103" s="25">
        <f t="shared" si="39"/>
        <v>0</v>
      </c>
      <c r="P103" s="26">
        <f>J103/I103*100</f>
        <v>0</v>
      </c>
      <c r="Q103" s="331"/>
      <c r="R103" s="331"/>
    </row>
    <row r="104" spans="1:50" s="2" customFormat="1" ht="19.5" customHeight="1" x14ac:dyDescent="0.3">
      <c r="A104" s="333" t="s">
        <v>60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5"/>
      <c r="Q104" s="340"/>
      <c r="R104" s="340"/>
    </row>
    <row r="105" spans="1:50" ht="78" x14ac:dyDescent="0.25">
      <c r="A105" s="51" t="s">
        <v>8</v>
      </c>
      <c r="B105" s="52" t="s">
        <v>9</v>
      </c>
      <c r="C105" s="52"/>
      <c r="D105" s="52"/>
      <c r="E105" s="52"/>
      <c r="F105" s="52"/>
      <c r="G105" s="52"/>
      <c r="H105" s="52"/>
      <c r="I105" s="53">
        <f>I106+I120+I127+I132+I130+I137+I141+I144+I139</f>
        <v>783637.53</v>
      </c>
      <c r="J105" s="53">
        <f>J106+J120+J127+J132+J130+J144+J137+J141+J139</f>
        <v>91259.16</v>
      </c>
      <c r="K105" s="53">
        <f>K106+K120+K127+K132+K130+K137+K141+K144+K139</f>
        <v>692378.37</v>
      </c>
      <c r="L105" s="53" t="e">
        <f t="shared" ref="L105:N105" si="54">L106+L120</f>
        <v>#REF!</v>
      </c>
      <c r="M105" s="53" t="e">
        <f t="shared" si="54"/>
        <v>#REF!</v>
      </c>
      <c r="N105" s="53" t="e">
        <f t="shared" si="54"/>
        <v>#REF!</v>
      </c>
      <c r="O105" s="53">
        <f>I105-J105-K105</f>
        <v>0</v>
      </c>
      <c r="P105" s="54">
        <f t="shared" ref="P105:P120" si="55">J105/I105*100</f>
        <v>11.645583130761999</v>
      </c>
      <c r="Q105" s="331"/>
      <c r="R105" s="331"/>
    </row>
    <row r="106" spans="1:50" ht="19.5" x14ac:dyDescent="0.25">
      <c r="A106" s="173" t="s">
        <v>11</v>
      </c>
      <c r="B106" s="8" t="s">
        <v>9</v>
      </c>
      <c r="C106" s="8" t="s">
        <v>12</v>
      </c>
      <c r="D106" s="8"/>
      <c r="E106" s="8"/>
      <c r="F106" s="8"/>
      <c r="G106" s="8"/>
      <c r="H106" s="8"/>
      <c r="I106" s="9">
        <f>I107+I111+I114+I117+I109+I146</f>
        <v>542217.12</v>
      </c>
      <c r="J106" s="9">
        <f>J107+J111+J114+J117+J109+J146</f>
        <v>90570.8</v>
      </c>
      <c r="K106" s="9">
        <f>K107+K111+K114+K117+K109+K146</f>
        <v>451646.31999999995</v>
      </c>
      <c r="L106" s="10" t="e">
        <f>L107+#REF!</f>
        <v>#REF!</v>
      </c>
      <c r="M106" s="197"/>
      <c r="N106" s="198"/>
      <c r="O106" s="11">
        <f>I106-J106-K106</f>
        <v>0</v>
      </c>
      <c r="P106" s="12">
        <f t="shared" si="55"/>
        <v>16.70378832745082</v>
      </c>
      <c r="Q106" s="331"/>
      <c r="R106" s="331"/>
    </row>
    <row r="107" spans="1:50" ht="120.75" customHeight="1" x14ac:dyDescent="0.25">
      <c r="A107" s="190" t="s">
        <v>61</v>
      </c>
      <c r="B107" s="41" t="s">
        <v>9</v>
      </c>
      <c r="C107" s="41" t="s">
        <v>12</v>
      </c>
      <c r="D107" s="41" t="s">
        <v>14</v>
      </c>
      <c r="E107" s="41" t="s">
        <v>62</v>
      </c>
      <c r="F107" s="41"/>
      <c r="G107" s="41"/>
      <c r="H107" s="41"/>
      <c r="I107" s="17">
        <f>I108</f>
        <v>13261.15</v>
      </c>
      <c r="J107" s="17">
        <f t="shared" ref="J107:L109" si="56">J108</f>
        <v>1665.6</v>
      </c>
      <c r="K107" s="17">
        <f t="shared" si="56"/>
        <v>11595.55</v>
      </c>
      <c r="L107" s="18" t="e">
        <f t="shared" si="56"/>
        <v>#REF!</v>
      </c>
      <c r="M107" s="186"/>
      <c r="N107" s="187"/>
      <c r="O107" s="20">
        <f>I107-J107-K107</f>
        <v>0</v>
      </c>
      <c r="P107" s="21">
        <f t="shared" si="55"/>
        <v>12.559996682037381</v>
      </c>
      <c r="Q107" s="331"/>
      <c r="R107" s="331"/>
      <c r="S107" s="15"/>
    </row>
    <row r="108" spans="1:50" ht="23.25" customHeight="1" x14ac:dyDescent="0.25">
      <c r="A108" s="99" t="s">
        <v>113</v>
      </c>
      <c r="B108" s="22" t="s">
        <v>9</v>
      </c>
      <c r="C108" s="22" t="s">
        <v>12</v>
      </c>
      <c r="D108" s="22" t="s">
        <v>14</v>
      </c>
      <c r="E108" s="43" t="s">
        <v>62</v>
      </c>
      <c r="F108" s="22" t="s">
        <v>63</v>
      </c>
      <c r="G108" s="22" t="s">
        <v>114</v>
      </c>
      <c r="H108" s="22"/>
      <c r="I108" s="35">
        <v>13261.15</v>
      </c>
      <c r="J108" s="100">
        <v>1665.6</v>
      </c>
      <c r="K108" s="34">
        <f>I108-J108</f>
        <v>11595.55</v>
      </c>
      <c r="L108" s="24" t="e">
        <f>#REF!</f>
        <v>#REF!</v>
      </c>
      <c r="M108" s="184"/>
      <c r="N108" s="185"/>
      <c r="O108" s="25">
        <f>I108-K108-J108</f>
        <v>0</v>
      </c>
      <c r="P108" s="26">
        <f t="shared" si="55"/>
        <v>12.559996682037381</v>
      </c>
      <c r="Q108" s="331"/>
      <c r="R108" s="331"/>
      <c r="Z108" s="15"/>
      <c r="AA108" s="15"/>
      <c r="AB108" s="15"/>
      <c r="AC108" s="15"/>
      <c r="AD108" s="15"/>
    </row>
    <row r="109" spans="1:50" ht="106.5" customHeight="1" x14ac:dyDescent="0.25">
      <c r="A109" s="190" t="s">
        <v>141</v>
      </c>
      <c r="B109" s="41" t="s">
        <v>9</v>
      </c>
      <c r="C109" s="41" t="s">
        <v>12</v>
      </c>
      <c r="D109" s="41" t="s">
        <v>14</v>
      </c>
      <c r="E109" s="41" t="s">
        <v>136</v>
      </c>
      <c r="F109" s="41"/>
      <c r="G109" s="41"/>
      <c r="H109" s="41"/>
      <c r="I109" s="17">
        <f>I110</f>
        <v>355955.97</v>
      </c>
      <c r="J109" s="17">
        <f t="shared" si="56"/>
        <v>17905.2</v>
      </c>
      <c r="K109" s="17">
        <f t="shared" si="56"/>
        <v>338050.76999999996</v>
      </c>
      <c r="L109" s="18" t="e">
        <f t="shared" si="56"/>
        <v>#REF!</v>
      </c>
      <c r="M109" s="186"/>
      <c r="N109" s="187"/>
      <c r="O109" s="20">
        <f>I109-J109-K109</f>
        <v>0</v>
      </c>
      <c r="P109" s="21">
        <f t="shared" si="55"/>
        <v>5.0301726924259773</v>
      </c>
      <c r="Q109" s="331"/>
      <c r="R109" s="331"/>
      <c r="Z109" s="15"/>
      <c r="AA109" s="15"/>
      <c r="AB109" s="15"/>
      <c r="AC109" s="15"/>
      <c r="AD109" s="15"/>
    </row>
    <row r="110" spans="1:50" ht="23.25" customHeight="1" x14ac:dyDescent="0.25">
      <c r="A110" s="99" t="s">
        <v>113</v>
      </c>
      <c r="B110" s="22" t="s">
        <v>9</v>
      </c>
      <c r="C110" s="22" t="s">
        <v>12</v>
      </c>
      <c r="D110" s="22" t="s">
        <v>14</v>
      </c>
      <c r="E110" s="43" t="s">
        <v>136</v>
      </c>
      <c r="F110" s="22" t="s">
        <v>63</v>
      </c>
      <c r="G110" s="22" t="s">
        <v>114</v>
      </c>
      <c r="H110" s="22"/>
      <c r="I110" s="35">
        <v>355955.97</v>
      </c>
      <c r="J110" s="100">
        <v>17905.2</v>
      </c>
      <c r="K110" s="34">
        <f>I110-J110</f>
        <v>338050.76999999996</v>
      </c>
      <c r="L110" s="24" t="e">
        <f>#REF!</f>
        <v>#REF!</v>
      </c>
      <c r="M110" s="184"/>
      <c r="N110" s="185"/>
      <c r="O110" s="25">
        <f>I110-K110-J110</f>
        <v>0</v>
      </c>
      <c r="P110" s="26">
        <f t="shared" si="55"/>
        <v>5.0301726924259773</v>
      </c>
      <c r="Q110" s="331"/>
      <c r="R110" s="331"/>
      <c r="Z110" s="15"/>
      <c r="AA110" s="15"/>
      <c r="AB110" s="15"/>
      <c r="AC110" s="15"/>
      <c r="AD110" s="15"/>
    </row>
    <row r="111" spans="1:50" s="2" customFormat="1" ht="80.25" customHeight="1" x14ac:dyDescent="0.25">
      <c r="A111" s="190" t="s">
        <v>117</v>
      </c>
      <c r="B111" s="41" t="s">
        <v>9</v>
      </c>
      <c r="C111" s="41" t="s">
        <v>12</v>
      </c>
      <c r="D111" s="41" t="s">
        <v>12</v>
      </c>
      <c r="E111" s="41" t="s">
        <v>90</v>
      </c>
      <c r="F111" s="41"/>
      <c r="G111" s="16"/>
      <c r="H111" s="16"/>
      <c r="I111" s="17">
        <f>I112+I113</f>
        <v>70000</v>
      </c>
      <c r="J111" s="17">
        <f t="shared" ref="J111:K111" si="57">J112+J113</f>
        <v>5000</v>
      </c>
      <c r="K111" s="17">
        <f t="shared" si="57"/>
        <v>65000</v>
      </c>
      <c r="L111" s="69"/>
      <c r="M111" s="186"/>
      <c r="N111" s="187"/>
      <c r="O111" s="20">
        <v>0</v>
      </c>
      <c r="P111" s="21">
        <f t="shared" si="55"/>
        <v>7.1428571428571423</v>
      </c>
      <c r="Q111" s="331"/>
      <c r="R111" s="331"/>
      <c r="S111" s="1"/>
      <c r="T111" s="15"/>
      <c r="U111" s="15"/>
      <c r="V111" s="15"/>
      <c r="W111" s="15"/>
      <c r="X111" s="15"/>
      <c r="Y111" s="1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s="2" customFormat="1" ht="39.75" customHeight="1" x14ac:dyDescent="0.25">
      <c r="A112" s="175" t="s">
        <v>109</v>
      </c>
      <c r="B112" s="22" t="s">
        <v>9</v>
      </c>
      <c r="C112" s="22" t="s">
        <v>12</v>
      </c>
      <c r="D112" s="22" t="s">
        <v>12</v>
      </c>
      <c r="E112" s="43" t="s">
        <v>90</v>
      </c>
      <c r="F112" s="22" t="s">
        <v>63</v>
      </c>
      <c r="G112" s="22" t="s">
        <v>104</v>
      </c>
      <c r="H112" s="22"/>
      <c r="I112" s="35">
        <v>27000</v>
      </c>
      <c r="J112" s="100">
        <v>0</v>
      </c>
      <c r="K112" s="35">
        <f>I112-J112</f>
        <v>27000</v>
      </c>
      <c r="L112" s="57"/>
      <c r="M112" s="188"/>
      <c r="N112" s="189"/>
      <c r="O112" s="25">
        <f>O113</f>
        <v>0</v>
      </c>
      <c r="P112" s="26">
        <f t="shared" si="55"/>
        <v>0</v>
      </c>
      <c r="Q112" s="331"/>
      <c r="R112" s="331"/>
      <c r="S112" s="1"/>
      <c r="T112" s="15"/>
      <c r="U112" s="15"/>
      <c r="V112" s="15"/>
      <c r="W112" s="15"/>
      <c r="X112" s="15"/>
      <c r="Y112" s="1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s="2" customFormat="1" ht="40.5" customHeight="1" x14ac:dyDescent="0.25">
      <c r="A113" s="175" t="s">
        <v>110</v>
      </c>
      <c r="B113" s="22" t="s">
        <v>9</v>
      </c>
      <c r="C113" s="22" t="s">
        <v>12</v>
      </c>
      <c r="D113" s="22" t="s">
        <v>12</v>
      </c>
      <c r="E113" s="43" t="s">
        <v>90</v>
      </c>
      <c r="F113" s="22" t="s">
        <v>63</v>
      </c>
      <c r="G113" s="22" t="s">
        <v>105</v>
      </c>
      <c r="H113" s="22"/>
      <c r="I113" s="35">
        <v>43000</v>
      </c>
      <c r="J113" s="100">
        <v>5000</v>
      </c>
      <c r="K113" s="35">
        <f>I113-J113</f>
        <v>38000</v>
      </c>
      <c r="L113" s="49"/>
      <c r="M113" s="188"/>
      <c r="N113" s="189"/>
      <c r="O113" s="25">
        <f>I113-J113-K113</f>
        <v>0</v>
      </c>
      <c r="P113" s="26">
        <f t="shared" si="55"/>
        <v>11.627906976744185</v>
      </c>
      <c r="Q113" s="331"/>
      <c r="R113" s="331"/>
      <c r="S113" s="1"/>
      <c r="T113" s="15"/>
      <c r="U113" s="15"/>
      <c r="V113" s="15"/>
      <c r="W113" s="15"/>
      <c r="X113" s="15"/>
      <c r="Y113" s="1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" customFormat="1" ht="91.5" customHeight="1" x14ac:dyDescent="0.25">
      <c r="A114" s="190" t="s">
        <v>118</v>
      </c>
      <c r="B114" s="41" t="s">
        <v>9</v>
      </c>
      <c r="C114" s="41" t="s">
        <v>12</v>
      </c>
      <c r="D114" s="41" t="s">
        <v>12</v>
      </c>
      <c r="E114" s="16" t="s">
        <v>115</v>
      </c>
      <c r="F114" s="41"/>
      <c r="G114" s="16"/>
      <c r="H114" s="16"/>
      <c r="I114" s="17">
        <f>I115+I116</f>
        <v>13000</v>
      </c>
      <c r="J114" s="17">
        <f t="shared" ref="J114:K114" si="58">J115+J116</f>
        <v>0</v>
      </c>
      <c r="K114" s="17">
        <f t="shared" si="58"/>
        <v>13000</v>
      </c>
      <c r="L114" s="69"/>
      <c r="M114" s="186"/>
      <c r="N114" s="187"/>
      <c r="O114" s="20">
        <v>0</v>
      </c>
      <c r="P114" s="21">
        <f t="shared" si="55"/>
        <v>0</v>
      </c>
      <c r="Q114" s="331"/>
      <c r="R114" s="331"/>
      <c r="S114" s="1"/>
      <c r="T114" s="15"/>
      <c r="U114" s="15"/>
      <c r="V114" s="15"/>
      <c r="W114" s="15"/>
      <c r="X114" s="15"/>
      <c r="Y114" s="1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" customFormat="1" ht="39.75" customHeight="1" x14ac:dyDescent="0.25">
      <c r="A115" s="175" t="s">
        <v>109</v>
      </c>
      <c r="B115" s="22" t="s">
        <v>9</v>
      </c>
      <c r="C115" s="22" t="s">
        <v>12</v>
      </c>
      <c r="D115" s="22" t="s">
        <v>12</v>
      </c>
      <c r="E115" s="43" t="s">
        <v>115</v>
      </c>
      <c r="F115" s="22" t="s">
        <v>63</v>
      </c>
      <c r="G115" s="22" t="s">
        <v>104</v>
      </c>
      <c r="H115" s="22"/>
      <c r="I115" s="35">
        <v>11000</v>
      </c>
      <c r="J115" s="100">
        <v>0</v>
      </c>
      <c r="K115" s="35">
        <f>I115-J115</f>
        <v>11000</v>
      </c>
      <c r="L115" s="57"/>
      <c r="M115" s="188"/>
      <c r="N115" s="189"/>
      <c r="O115" s="25">
        <f>O116</f>
        <v>0</v>
      </c>
      <c r="P115" s="26">
        <f t="shared" si="55"/>
        <v>0</v>
      </c>
      <c r="Q115" s="331"/>
      <c r="R115" s="331"/>
      <c r="S115" s="1"/>
      <c r="T115" s="15"/>
      <c r="U115" s="15"/>
      <c r="V115" s="15"/>
      <c r="W115" s="15"/>
      <c r="X115" s="15"/>
      <c r="Y115" s="1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" customFormat="1" ht="40.5" customHeight="1" x14ac:dyDescent="0.25">
      <c r="A116" s="175" t="s">
        <v>110</v>
      </c>
      <c r="B116" s="22" t="s">
        <v>9</v>
      </c>
      <c r="C116" s="22" t="s">
        <v>12</v>
      </c>
      <c r="D116" s="22" t="s">
        <v>12</v>
      </c>
      <c r="E116" s="43" t="s">
        <v>115</v>
      </c>
      <c r="F116" s="22" t="s">
        <v>63</v>
      </c>
      <c r="G116" s="22" t="s">
        <v>105</v>
      </c>
      <c r="H116" s="22"/>
      <c r="I116" s="35">
        <v>2000</v>
      </c>
      <c r="J116" s="100">
        <v>0</v>
      </c>
      <c r="K116" s="35">
        <f>I116-J116</f>
        <v>2000</v>
      </c>
      <c r="L116" s="49"/>
      <c r="M116" s="188"/>
      <c r="N116" s="189"/>
      <c r="O116" s="25">
        <f>I116-J116-K116</f>
        <v>0</v>
      </c>
      <c r="P116" s="26">
        <f t="shared" si="55"/>
        <v>0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88.5" customHeight="1" x14ac:dyDescent="0.25">
      <c r="A117" s="190" t="s">
        <v>119</v>
      </c>
      <c r="B117" s="41" t="s">
        <v>9</v>
      </c>
      <c r="C117" s="41" t="s">
        <v>12</v>
      </c>
      <c r="D117" s="41" t="s">
        <v>85</v>
      </c>
      <c r="E117" s="16" t="s">
        <v>116</v>
      </c>
      <c r="F117" s="41"/>
      <c r="G117" s="16"/>
      <c r="H117" s="16"/>
      <c r="I117" s="17">
        <f>I118+I119</f>
        <v>27000</v>
      </c>
      <c r="J117" s="17">
        <f t="shared" ref="J117:K117" si="59">J118+J119</f>
        <v>3000</v>
      </c>
      <c r="K117" s="17">
        <f t="shared" si="59"/>
        <v>24000</v>
      </c>
      <c r="L117" s="69"/>
      <c r="M117" s="186"/>
      <c r="N117" s="187"/>
      <c r="O117" s="20">
        <v>0</v>
      </c>
      <c r="P117" s="21">
        <f t="shared" si="55"/>
        <v>11.111111111111111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39.75" customHeight="1" x14ac:dyDescent="0.25">
      <c r="A118" s="175" t="s">
        <v>109</v>
      </c>
      <c r="B118" s="22" t="s">
        <v>9</v>
      </c>
      <c r="C118" s="22" t="s">
        <v>12</v>
      </c>
      <c r="D118" s="22" t="s">
        <v>85</v>
      </c>
      <c r="E118" s="43" t="s">
        <v>116</v>
      </c>
      <c r="F118" s="22" t="s">
        <v>63</v>
      </c>
      <c r="G118" s="22" t="s">
        <v>104</v>
      </c>
      <c r="H118" s="22"/>
      <c r="I118" s="35">
        <v>7000</v>
      </c>
      <c r="J118" s="100">
        <v>0</v>
      </c>
      <c r="K118" s="35">
        <f>I118-J118</f>
        <v>7000</v>
      </c>
      <c r="L118" s="57"/>
      <c r="M118" s="188"/>
      <c r="N118" s="189"/>
      <c r="O118" s="25">
        <f>O119</f>
        <v>0</v>
      </c>
      <c r="P118" s="26">
        <f t="shared" si="55"/>
        <v>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75" t="s">
        <v>110</v>
      </c>
      <c r="B119" s="22" t="s">
        <v>9</v>
      </c>
      <c r="C119" s="22" t="s">
        <v>12</v>
      </c>
      <c r="D119" s="22" t="s">
        <v>85</v>
      </c>
      <c r="E119" s="43" t="s">
        <v>116</v>
      </c>
      <c r="F119" s="22" t="s">
        <v>63</v>
      </c>
      <c r="G119" s="22" t="s">
        <v>105</v>
      </c>
      <c r="H119" s="22"/>
      <c r="I119" s="35">
        <v>20000</v>
      </c>
      <c r="J119" s="100">
        <v>3000</v>
      </c>
      <c r="K119" s="35">
        <f>I119-J119</f>
        <v>17000</v>
      </c>
      <c r="L119" s="49"/>
      <c r="M119" s="188"/>
      <c r="N119" s="189"/>
      <c r="O119" s="25">
        <f>I119-J119-K119</f>
        <v>0</v>
      </c>
      <c r="P119" s="26">
        <f t="shared" si="55"/>
        <v>15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59.25" customHeight="1" x14ac:dyDescent="0.25">
      <c r="A120" s="86" t="s">
        <v>67</v>
      </c>
      <c r="B120" s="41" t="s">
        <v>9</v>
      </c>
      <c r="C120" s="41" t="s">
        <v>68</v>
      </c>
      <c r="D120" s="41" t="s">
        <v>69</v>
      </c>
      <c r="E120" s="41" t="s">
        <v>70</v>
      </c>
      <c r="F120" s="41"/>
      <c r="G120" s="41"/>
      <c r="H120" s="41"/>
      <c r="I120" s="17">
        <f>I121+I123+I125+I126+I122+I124</f>
        <v>65000</v>
      </c>
      <c r="J120" s="17">
        <f>J121+J123+J125+J126+J122+J124</f>
        <v>0</v>
      </c>
      <c r="K120" s="17">
        <f>K121+K123+K125+K126+K122+K124</f>
        <v>65000</v>
      </c>
      <c r="L120" s="17" t="e">
        <f>L121+#REF!+#REF!</f>
        <v>#REF!</v>
      </c>
      <c r="M120" s="17" t="e">
        <f>M121+#REF!+#REF!</f>
        <v>#REF!</v>
      </c>
      <c r="N120" s="17" t="e">
        <f>N121+#REF!+#REF!</f>
        <v>#REF!</v>
      </c>
      <c r="O120" s="89">
        <f>I120-J120-K120</f>
        <v>0</v>
      </c>
      <c r="P120" s="21">
        <f t="shared" si="55"/>
        <v>0</v>
      </c>
      <c r="Q120" s="331"/>
      <c r="R120" s="33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18.75" x14ac:dyDescent="0.25">
      <c r="A121" s="175" t="s">
        <v>43</v>
      </c>
      <c r="B121" s="22" t="s">
        <v>9</v>
      </c>
      <c r="C121" s="22" t="s">
        <v>68</v>
      </c>
      <c r="D121" s="22" t="s">
        <v>69</v>
      </c>
      <c r="E121" s="22" t="s">
        <v>70</v>
      </c>
      <c r="F121" s="22" t="s">
        <v>63</v>
      </c>
      <c r="G121" s="22" t="s">
        <v>44</v>
      </c>
      <c r="H121" s="22"/>
      <c r="I121" s="35">
        <v>5000</v>
      </c>
      <c r="J121" s="35">
        <v>0</v>
      </c>
      <c r="K121" s="23">
        <f>I121-J121</f>
        <v>5000</v>
      </c>
      <c r="L121" s="93"/>
      <c r="M121" s="188"/>
      <c r="N121" s="189"/>
      <c r="O121" s="25">
        <f>I121-J121-K121</f>
        <v>0</v>
      </c>
      <c r="P121" s="26">
        <f>J121/I121*100</f>
        <v>0</v>
      </c>
      <c r="Q121" s="331"/>
      <c r="R121" s="331"/>
      <c r="S121" s="15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18.75" x14ac:dyDescent="0.25">
      <c r="A122" s="175" t="s">
        <v>123</v>
      </c>
      <c r="B122" s="22" t="s">
        <v>9</v>
      </c>
      <c r="C122" s="22" t="s">
        <v>68</v>
      </c>
      <c r="D122" s="22" t="s">
        <v>69</v>
      </c>
      <c r="E122" s="22" t="s">
        <v>70</v>
      </c>
      <c r="F122" s="22" t="s">
        <v>63</v>
      </c>
      <c r="G122" s="22" t="s">
        <v>124</v>
      </c>
      <c r="H122" s="22"/>
      <c r="I122" s="35">
        <v>7500</v>
      </c>
      <c r="J122" s="100">
        <v>0</v>
      </c>
      <c r="K122" s="23">
        <f t="shared" ref="K122:K126" si="60">I122-J122</f>
        <v>7500</v>
      </c>
      <c r="L122" s="93"/>
      <c r="M122" s="188"/>
      <c r="N122" s="189"/>
      <c r="O122" s="25">
        <f t="shared" ref="O122:O134" si="61">I122-J122-K122</f>
        <v>0</v>
      </c>
      <c r="P122" s="26">
        <f>J122/I122*100</f>
        <v>0</v>
      </c>
      <c r="Q122" s="338"/>
      <c r="R122" s="339"/>
      <c r="S122" s="15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7.5" x14ac:dyDescent="0.25">
      <c r="A123" s="175" t="s">
        <v>106</v>
      </c>
      <c r="B123" s="22" t="s">
        <v>9</v>
      </c>
      <c r="C123" s="22" t="s">
        <v>68</v>
      </c>
      <c r="D123" s="22" t="s">
        <v>69</v>
      </c>
      <c r="E123" s="22" t="s">
        <v>70</v>
      </c>
      <c r="F123" s="22" t="s">
        <v>63</v>
      </c>
      <c r="G123" s="22" t="s">
        <v>101</v>
      </c>
      <c r="H123" s="22"/>
      <c r="I123" s="35">
        <v>2500</v>
      </c>
      <c r="J123" s="100">
        <v>0</v>
      </c>
      <c r="K123" s="23">
        <f t="shared" si="60"/>
        <v>2500</v>
      </c>
      <c r="L123" s="93"/>
      <c r="M123" s="188"/>
      <c r="N123" s="189"/>
      <c r="O123" s="25">
        <f t="shared" si="61"/>
        <v>0</v>
      </c>
      <c r="P123" s="26">
        <v>0</v>
      </c>
      <c r="Q123" s="331"/>
      <c r="R123" s="33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18.75" x14ac:dyDescent="0.25">
      <c r="A124" s="175" t="s">
        <v>108</v>
      </c>
      <c r="B124" s="22" t="s">
        <v>9</v>
      </c>
      <c r="C124" s="22" t="s">
        <v>68</v>
      </c>
      <c r="D124" s="22" t="s">
        <v>69</v>
      </c>
      <c r="E124" s="22" t="s">
        <v>70</v>
      </c>
      <c r="F124" s="22" t="s">
        <v>63</v>
      </c>
      <c r="G124" s="22" t="s">
        <v>103</v>
      </c>
      <c r="H124" s="22"/>
      <c r="I124" s="35">
        <v>20000</v>
      </c>
      <c r="J124" s="100">
        <v>0</v>
      </c>
      <c r="K124" s="23">
        <f t="shared" si="60"/>
        <v>20000</v>
      </c>
      <c r="L124" s="93"/>
      <c r="M124" s="188"/>
      <c r="N124" s="189"/>
      <c r="O124" s="25">
        <f t="shared" si="61"/>
        <v>0</v>
      </c>
      <c r="P124" s="26"/>
      <c r="Q124" s="146"/>
      <c r="R124" s="146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37.5" customHeight="1" x14ac:dyDescent="0.25">
      <c r="A125" s="175" t="s">
        <v>109</v>
      </c>
      <c r="B125" s="22" t="s">
        <v>9</v>
      </c>
      <c r="C125" s="22" t="s">
        <v>68</v>
      </c>
      <c r="D125" s="22" t="s">
        <v>69</v>
      </c>
      <c r="E125" s="22" t="s">
        <v>70</v>
      </c>
      <c r="F125" s="22" t="s">
        <v>63</v>
      </c>
      <c r="G125" s="22" t="s">
        <v>104</v>
      </c>
      <c r="H125" s="22"/>
      <c r="I125" s="35">
        <v>20000</v>
      </c>
      <c r="J125" s="100">
        <v>0</v>
      </c>
      <c r="K125" s="23">
        <f t="shared" si="60"/>
        <v>20000</v>
      </c>
      <c r="L125" s="93"/>
      <c r="M125" s="188"/>
      <c r="N125" s="189"/>
      <c r="O125" s="25">
        <f t="shared" si="61"/>
        <v>0</v>
      </c>
      <c r="P125" s="26">
        <v>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37.5" x14ac:dyDescent="0.25">
      <c r="A126" s="175" t="s">
        <v>110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105</v>
      </c>
      <c r="H126" s="22"/>
      <c r="I126" s="35">
        <v>10000</v>
      </c>
      <c r="J126" s="100">
        <v>0</v>
      </c>
      <c r="K126" s="23">
        <f t="shared" si="60"/>
        <v>10000</v>
      </c>
      <c r="L126" s="93"/>
      <c r="M126" s="188"/>
      <c r="N126" s="189"/>
      <c r="O126" s="25">
        <f t="shared" si="61"/>
        <v>0</v>
      </c>
      <c r="P126" s="26">
        <f t="shared" ref="P126:P147" si="62">J126/I126*100</f>
        <v>0</v>
      </c>
      <c r="Q126" s="331"/>
      <c r="R126" s="33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82.5" hidden="1" customHeight="1" x14ac:dyDescent="0.25">
      <c r="A127" s="190" t="s">
        <v>125</v>
      </c>
      <c r="B127" s="41" t="s">
        <v>9</v>
      </c>
      <c r="C127" s="41" t="s">
        <v>12</v>
      </c>
      <c r="D127" s="41" t="s">
        <v>12</v>
      </c>
      <c r="E127" s="41" t="s">
        <v>126</v>
      </c>
      <c r="F127" s="41"/>
      <c r="G127" s="16"/>
      <c r="H127" s="16"/>
      <c r="I127" s="17">
        <f>I128+I129</f>
        <v>0</v>
      </c>
      <c r="J127" s="17">
        <f t="shared" ref="J127:K127" si="63">J128+J129</f>
        <v>0</v>
      </c>
      <c r="K127" s="17">
        <f t="shared" si="63"/>
        <v>0</v>
      </c>
      <c r="L127" s="69"/>
      <c r="M127" s="186"/>
      <c r="N127" s="187"/>
      <c r="O127" s="20">
        <f t="shared" si="61"/>
        <v>0</v>
      </c>
      <c r="P127" s="21" t="e">
        <f t="shared" si="62"/>
        <v>#DIV/0!</v>
      </c>
      <c r="Q127" s="321"/>
      <c r="R127" s="32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18.75" hidden="1" x14ac:dyDescent="0.25">
      <c r="A128" s="175" t="s">
        <v>27</v>
      </c>
      <c r="B128" s="22" t="s">
        <v>9</v>
      </c>
      <c r="C128" s="22" t="s">
        <v>12</v>
      </c>
      <c r="D128" s="22" t="s">
        <v>12</v>
      </c>
      <c r="E128" s="43" t="s">
        <v>126</v>
      </c>
      <c r="F128" s="22" t="s">
        <v>63</v>
      </c>
      <c r="G128" s="22" t="s">
        <v>28</v>
      </c>
      <c r="H128" s="22"/>
      <c r="I128" s="121">
        <v>0</v>
      </c>
      <c r="J128" s="122">
        <v>0</v>
      </c>
      <c r="K128" s="35">
        <f>I128-J128</f>
        <v>0</v>
      </c>
      <c r="L128" s="57"/>
      <c r="M128" s="188"/>
      <c r="N128" s="189"/>
      <c r="O128" s="25">
        <f t="shared" si="61"/>
        <v>0</v>
      </c>
      <c r="P128" s="26" t="e">
        <f t="shared" si="62"/>
        <v>#DIV/0!</v>
      </c>
      <c r="Q128" s="325"/>
      <c r="R128" s="326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hidden="1" x14ac:dyDescent="0.25">
      <c r="A129" s="99" t="s">
        <v>31</v>
      </c>
      <c r="B129" s="22" t="s">
        <v>9</v>
      </c>
      <c r="C129" s="22" t="s">
        <v>12</v>
      </c>
      <c r="D129" s="22" t="s">
        <v>12</v>
      </c>
      <c r="E129" s="43" t="s">
        <v>126</v>
      </c>
      <c r="F129" s="22" t="s">
        <v>63</v>
      </c>
      <c r="G129" s="22" t="s">
        <v>32</v>
      </c>
      <c r="H129" s="22"/>
      <c r="I129" s="121">
        <v>0</v>
      </c>
      <c r="J129" s="122">
        <v>0</v>
      </c>
      <c r="K129" s="35">
        <f>I129-J129</f>
        <v>0</v>
      </c>
      <c r="L129" s="49"/>
      <c r="M129" s="188"/>
      <c r="N129" s="189"/>
      <c r="O129" s="25">
        <f t="shared" si="61"/>
        <v>0</v>
      </c>
      <c r="P129" s="26" t="e">
        <f t="shared" si="62"/>
        <v>#DIV/0!</v>
      </c>
      <c r="Q129" s="323"/>
      <c r="R129" s="32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65.25" customHeight="1" x14ac:dyDescent="0.25">
      <c r="A130" s="199" t="s">
        <v>142</v>
      </c>
      <c r="B130" s="104" t="s">
        <v>9</v>
      </c>
      <c r="C130" s="104" t="s">
        <v>68</v>
      </c>
      <c r="D130" s="104" t="s">
        <v>14</v>
      </c>
      <c r="E130" s="104" t="s">
        <v>137</v>
      </c>
      <c r="F130" s="104"/>
      <c r="G130" s="105"/>
      <c r="H130" s="105"/>
      <c r="I130" s="17">
        <f>I131</f>
        <v>40000</v>
      </c>
      <c r="J130" s="17">
        <f t="shared" ref="J130:K130" si="64">J131</f>
        <v>0</v>
      </c>
      <c r="K130" s="17">
        <f t="shared" si="64"/>
        <v>40000</v>
      </c>
      <c r="L130" s="115"/>
      <c r="M130" s="195"/>
      <c r="N130" s="196"/>
      <c r="O130" s="20">
        <f>I130-J130-K130</f>
        <v>0</v>
      </c>
      <c r="P130" s="21">
        <f t="shared" si="62"/>
        <v>0</v>
      </c>
      <c r="Q130" s="321"/>
      <c r="R130" s="32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21" customHeight="1" x14ac:dyDescent="0.25">
      <c r="A131" s="175" t="s">
        <v>109</v>
      </c>
      <c r="B131" s="112" t="s">
        <v>9</v>
      </c>
      <c r="C131" s="112" t="s">
        <v>68</v>
      </c>
      <c r="D131" s="112" t="s">
        <v>14</v>
      </c>
      <c r="E131" s="113" t="s">
        <v>137</v>
      </c>
      <c r="F131" s="112" t="s">
        <v>63</v>
      </c>
      <c r="G131" s="112" t="s">
        <v>104</v>
      </c>
      <c r="H131" s="112"/>
      <c r="I131" s="35">
        <v>40000</v>
      </c>
      <c r="J131" s="100">
        <v>0</v>
      </c>
      <c r="K131" s="35">
        <f t="shared" ref="K131:K133" si="65">I131-J131</f>
        <v>40000</v>
      </c>
      <c r="L131" s="114"/>
      <c r="M131" s="188"/>
      <c r="N131" s="189"/>
      <c r="O131" s="25">
        <f t="shared" si="61"/>
        <v>0</v>
      </c>
      <c r="P131" s="26">
        <f t="shared" si="62"/>
        <v>0</v>
      </c>
      <c r="Q131" s="323"/>
      <c r="R131" s="3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60" hidden="1" customHeight="1" x14ac:dyDescent="0.25">
      <c r="A132" s="199" t="s">
        <v>143</v>
      </c>
      <c r="B132" s="104" t="s">
        <v>9</v>
      </c>
      <c r="C132" s="104" t="s">
        <v>12</v>
      </c>
      <c r="D132" s="104" t="s">
        <v>14</v>
      </c>
      <c r="E132" s="104" t="s">
        <v>138</v>
      </c>
      <c r="F132" s="104"/>
      <c r="G132" s="104"/>
      <c r="H132" s="104"/>
      <c r="I132" s="106">
        <f>I133</f>
        <v>0</v>
      </c>
      <c r="J132" s="106">
        <f t="shared" ref="J132:K132" si="66">J133</f>
        <v>0</v>
      </c>
      <c r="K132" s="106">
        <f t="shared" si="66"/>
        <v>0</v>
      </c>
      <c r="L132" s="115"/>
      <c r="M132" s="195"/>
      <c r="N132" s="196"/>
      <c r="O132" s="20">
        <f>I132-J132-K132</f>
        <v>0</v>
      </c>
      <c r="P132" s="21" t="e">
        <f t="shared" si="62"/>
        <v>#DIV/0!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27.75" hidden="1" customHeight="1" x14ac:dyDescent="0.25">
      <c r="A133" s="99" t="s">
        <v>47</v>
      </c>
      <c r="B133" s="112" t="s">
        <v>9</v>
      </c>
      <c r="C133" s="112" t="s">
        <v>12</v>
      </c>
      <c r="D133" s="112" t="s">
        <v>14</v>
      </c>
      <c r="E133" s="113" t="s">
        <v>138</v>
      </c>
      <c r="F133" s="112" t="s">
        <v>63</v>
      </c>
      <c r="G133" s="112" t="s">
        <v>48</v>
      </c>
      <c r="H133" s="112"/>
      <c r="I133" s="118">
        <v>0</v>
      </c>
      <c r="J133" s="158">
        <v>0</v>
      </c>
      <c r="K133" s="118">
        <f t="shared" si="65"/>
        <v>0</v>
      </c>
      <c r="L133" s="114"/>
      <c r="M133" s="188"/>
      <c r="N133" s="189"/>
      <c r="O133" s="119">
        <f t="shared" si="61"/>
        <v>0</v>
      </c>
      <c r="P133" s="120" t="e">
        <f t="shared" si="62"/>
        <v>#DIV/0!</v>
      </c>
      <c r="Q133" s="323"/>
      <c r="R133" s="3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82.5" hidden="1" customHeight="1" x14ac:dyDescent="0.25">
      <c r="A134" s="190" t="s">
        <v>127</v>
      </c>
      <c r="B134" s="104" t="s">
        <v>9</v>
      </c>
      <c r="C134" s="104" t="s">
        <v>12</v>
      </c>
      <c r="D134" s="104" t="s">
        <v>85</v>
      </c>
      <c r="E134" s="104" t="s">
        <v>86</v>
      </c>
      <c r="F134" s="104"/>
      <c r="G134" s="105"/>
      <c r="H134" s="105"/>
      <c r="I134" s="106">
        <f>I135+I136</f>
        <v>0</v>
      </c>
      <c r="J134" s="106">
        <f>J135+J136</f>
        <v>0</v>
      </c>
      <c r="K134" s="106">
        <f>K135+K136</f>
        <v>0</v>
      </c>
      <c r="L134" s="106">
        <f t="shared" ref="L134:N134" si="67">L135</f>
        <v>0</v>
      </c>
      <c r="M134" s="106">
        <f t="shared" si="67"/>
        <v>0</v>
      </c>
      <c r="N134" s="106">
        <f t="shared" si="67"/>
        <v>0</v>
      </c>
      <c r="O134" s="107">
        <f t="shared" si="61"/>
        <v>0</v>
      </c>
      <c r="P134" s="108" t="e">
        <f t="shared" si="62"/>
        <v>#DIV/0!</v>
      </c>
      <c r="Q134" s="321"/>
      <c r="R134" s="3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18.75" hidden="1" x14ac:dyDescent="0.25">
      <c r="A135" s="175" t="s">
        <v>41</v>
      </c>
      <c r="B135" s="22" t="s">
        <v>9</v>
      </c>
      <c r="C135" s="22" t="s">
        <v>12</v>
      </c>
      <c r="D135" s="22" t="s">
        <v>85</v>
      </c>
      <c r="E135" s="22" t="s">
        <v>86</v>
      </c>
      <c r="F135" s="22" t="s">
        <v>63</v>
      </c>
      <c r="G135" s="22" t="s">
        <v>42</v>
      </c>
      <c r="H135" s="22"/>
      <c r="I135" s="121"/>
      <c r="J135" s="121"/>
      <c r="K135" s="23">
        <f>I135-J135</f>
        <v>0</v>
      </c>
      <c r="L135" s="109"/>
      <c r="M135" s="110"/>
      <c r="N135" s="111"/>
      <c r="O135" s="25">
        <f>I135-J135-K135</f>
        <v>0</v>
      </c>
      <c r="P135" s="26" t="e">
        <f t="shared" si="62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18.75" hidden="1" x14ac:dyDescent="0.25">
      <c r="A136" s="99" t="s">
        <v>47</v>
      </c>
      <c r="B136" s="22" t="s">
        <v>9</v>
      </c>
      <c r="C136" s="22" t="s">
        <v>12</v>
      </c>
      <c r="D136" s="22" t="s">
        <v>85</v>
      </c>
      <c r="E136" s="22" t="s">
        <v>86</v>
      </c>
      <c r="F136" s="22" t="s">
        <v>63</v>
      </c>
      <c r="G136" s="22" t="s">
        <v>48</v>
      </c>
      <c r="H136" s="22"/>
      <c r="I136" s="121"/>
      <c r="J136" s="121">
        <v>0</v>
      </c>
      <c r="K136" s="23">
        <f>I136-J136</f>
        <v>0</v>
      </c>
      <c r="L136" s="109"/>
      <c r="M136" s="110"/>
      <c r="N136" s="111"/>
      <c r="O136" s="25">
        <f t="shared" ref="O136" si="68">I136-J136-K136</f>
        <v>0</v>
      </c>
      <c r="P136" s="26" t="e">
        <f t="shared" si="62"/>
        <v>#DIV/0!</v>
      </c>
      <c r="Q136" s="147"/>
      <c r="R136" s="148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60" hidden="1" customHeight="1" x14ac:dyDescent="0.25">
      <c r="A137" s="40" t="s">
        <v>139</v>
      </c>
      <c r="B137" s="104" t="s">
        <v>9</v>
      </c>
      <c r="C137" s="104" t="s">
        <v>12</v>
      </c>
      <c r="D137" s="104" t="s">
        <v>14</v>
      </c>
      <c r="E137" s="104" t="s">
        <v>135</v>
      </c>
      <c r="F137" s="104"/>
      <c r="G137" s="104"/>
      <c r="H137" s="104"/>
      <c r="I137" s="106">
        <f>I138</f>
        <v>0</v>
      </c>
      <c r="J137" s="106">
        <f t="shared" ref="J137:K137" si="69">J138</f>
        <v>0</v>
      </c>
      <c r="K137" s="106">
        <f t="shared" si="69"/>
        <v>0</v>
      </c>
      <c r="L137" s="115"/>
      <c r="M137" s="195"/>
      <c r="N137" s="196"/>
      <c r="O137" s="20">
        <f>I137-J137-K137</f>
        <v>0</v>
      </c>
      <c r="P137" s="21" t="e">
        <f t="shared" si="62"/>
        <v>#DIV/0!</v>
      </c>
      <c r="Q137" s="321"/>
      <c r="R137" s="32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27.75" hidden="1" customHeight="1" x14ac:dyDescent="0.25">
      <c r="A138" s="99" t="s">
        <v>47</v>
      </c>
      <c r="B138" s="112" t="s">
        <v>9</v>
      </c>
      <c r="C138" s="112" t="s">
        <v>12</v>
      </c>
      <c r="D138" s="112" t="s">
        <v>14</v>
      </c>
      <c r="E138" s="105" t="s">
        <v>144</v>
      </c>
      <c r="F138" s="112" t="s">
        <v>63</v>
      </c>
      <c r="G138" s="112" t="s">
        <v>48</v>
      </c>
      <c r="H138" s="112"/>
      <c r="I138" s="123">
        <v>0</v>
      </c>
      <c r="J138" s="124">
        <v>0</v>
      </c>
      <c r="K138" s="118">
        <f t="shared" ref="K138" si="70">I138-J138</f>
        <v>0</v>
      </c>
      <c r="L138" s="114"/>
      <c r="M138" s="188"/>
      <c r="N138" s="189"/>
      <c r="O138" s="119">
        <f t="shared" ref="O138:O140" si="71">I138-J138-K138</f>
        <v>0</v>
      </c>
      <c r="P138" s="120" t="e">
        <f t="shared" si="62"/>
        <v>#DIV/0!</v>
      </c>
      <c r="Q138" s="323"/>
      <c r="R138" s="32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16.25" customHeight="1" x14ac:dyDescent="0.25">
      <c r="A139" s="190" t="s">
        <v>154</v>
      </c>
      <c r="B139" s="41" t="s">
        <v>9</v>
      </c>
      <c r="C139" s="41" t="s">
        <v>12</v>
      </c>
      <c r="D139" s="41" t="s">
        <v>14</v>
      </c>
      <c r="E139" s="41" t="s">
        <v>155</v>
      </c>
      <c r="F139" s="41"/>
      <c r="G139" s="41"/>
      <c r="H139" s="41"/>
      <c r="I139" s="56">
        <f>I140</f>
        <v>6420.41</v>
      </c>
      <c r="J139" s="55">
        <f>J140</f>
        <v>688.36</v>
      </c>
      <c r="K139" s="55">
        <f>I139-J139</f>
        <v>5732.05</v>
      </c>
      <c r="L139" s="18" t="e">
        <f>L140</f>
        <v>#REF!</v>
      </c>
      <c r="M139" s="186"/>
      <c r="N139" s="187"/>
      <c r="O139" s="20">
        <f t="shared" si="71"/>
        <v>0</v>
      </c>
      <c r="P139" s="21">
        <f>J139/I139*100</f>
        <v>10.721433677911536</v>
      </c>
      <c r="Q139" s="331"/>
      <c r="R139" s="331"/>
      <c r="S139" s="15"/>
    </row>
    <row r="140" spans="1:50" ht="18.75" x14ac:dyDescent="0.25">
      <c r="A140" s="99" t="s">
        <v>113</v>
      </c>
      <c r="B140" s="22" t="s">
        <v>9</v>
      </c>
      <c r="C140" s="22" t="s">
        <v>12</v>
      </c>
      <c r="D140" s="22" t="s">
        <v>14</v>
      </c>
      <c r="E140" s="22" t="s">
        <v>155</v>
      </c>
      <c r="F140" s="22" t="s">
        <v>63</v>
      </c>
      <c r="G140" s="22" t="s">
        <v>114</v>
      </c>
      <c r="H140" s="22"/>
      <c r="I140" s="35">
        <v>6420.41</v>
      </c>
      <c r="J140" s="100">
        <v>688.36</v>
      </c>
      <c r="K140" s="34">
        <f>I140-J140</f>
        <v>5732.05</v>
      </c>
      <c r="L140" s="24" t="e">
        <f>#REF!</f>
        <v>#REF!</v>
      </c>
      <c r="M140" s="184"/>
      <c r="N140" s="185"/>
      <c r="O140" s="25">
        <f t="shared" si="71"/>
        <v>0</v>
      </c>
      <c r="P140" s="26">
        <f>J140/I140*100</f>
        <v>10.721433677911536</v>
      </c>
      <c r="Q140" s="331"/>
      <c r="R140" s="331"/>
      <c r="Z140" s="15"/>
      <c r="AA140" s="15"/>
      <c r="AB140" s="15"/>
      <c r="AC140" s="15"/>
      <c r="AD140" s="15"/>
    </row>
    <row r="141" spans="1:50" s="2" customFormat="1" ht="60" customHeight="1" x14ac:dyDescent="0.25">
      <c r="A141" s="199" t="s">
        <v>145</v>
      </c>
      <c r="B141" s="104" t="s">
        <v>9</v>
      </c>
      <c r="C141" s="104" t="s">
        <v>12</v>
      </c>
      <c r="D141" s="104" t="s">
        <v>12</v>
      </c>
      <c r="E141" s="104" t="s">
        <v>126</v>
      </c>
      <c r="F141" s="104"/>
      <c r="G141" s="104"/>
      <c r="H141" s="104"/>
      <c r="I141" s="106">
        <f>I142+I143</f>
        <v>130000</v>
      </c>
      <c r="J141" s="106">
        <f>J143+J142</f>
        <v>0</v>
      </c>
      <c r="K141" s="106">
        <f>K143+K142</f>
        <v>130000</v>
      </c>
      <c r="L141" s="115"/>
      <c r="M141" s="195"/>
      <c r="N141" s="196"/>
      <c r="O141" s="20">
        <f>I141-J141-K141</f>
        <v>0</v>
      </c>
      <c r="P141" s="21">
        <f t="shared" si="62"/>
        <v>0</v>
      </c>
      <c r="Q141" s="321"/>
      <c r="R141" s="32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33" customHeight="1" x14ac:dyDescent="0.25">
      <c r="A142" s="194" t="s">
        <v>27</v>
      </c>
      <c r="B142" s="112" t="s">
        <v>9</v>
      </c>
      <c r="C142" s="112" t="s">
        <v>12</v>
      </c>
      <c r="D142" s="112" t="s">
        <v>12</v>
      </c>
      <c r="E142" s="112" t="s">
        <v>126</v>
      </c>
      <c r="F142" s="112" t="s">
        <v>63</v>
      </c>
      <c r="G142" s="112" t="s">
        <v>28</v>
      </c>
      <c r="H142" s="129"/>
      <c r="I142" s="116">
        <v>99846.39</v>
      </c>
      <c r="J142" s="117">
        <v>0</v>
      </c>
      <c r="K142" s="116">
        <f>I142-J142</f>
        <v>99846.39</v>
      </c>
      <c r="L142" s="131"/>
      <c r="M142" s="184"/>
      <c r="N142" s="185"/>
      <c r="O142" s="119">
        <f t="shared" ref="O142:O143" si="72">I142-J142-K142</f>
        <v>0</v>
      </c>
      <c r="P142" s="120">
        <f t="shared" si="62"/>
        <v>0</v>
      </c>
      <c r="Q142" s="325"/>
      <c r="R142" s="326"/>
    </row>
    <row r="143" spans="1:50" s="2" customFormat="1" ht="27.75" customHeight="1" x14ac:dyDescent="0.25">
      <c r="A143" s="175" t="s">
        <v>31</v>
      </c>
      <c r="B143" s="112" t="s">
        <v>9</v>
      </c>
      <c r="C143" s="112" t="s">
        <v>12</v>
      </c>
      <c r="D143" s="112" t="s">
        <v>12</v>
      </c>
      <c r="E143" s="112" t="s">
        <v>126</v>
      </c>
      <c r="F143" s="112" t="s">
        <v>63</v>
      </c>
      <c r="G143" s="112" t="s">
        <v>32</v>
      </c>
      <c r="H143" s="112"/>
      <c r="I143" s="116">
        <v>30153.61</v>
      </c>
      <c r="J143" s="117">
        <v>0</v>
      </c>
      <c r="K143" s="116">
        <f>I143-J143</f>
        <v>30153.61</v>
      </c>
      <c r="L143" s="131"/>
      <c r="M143" s="182"/>
      <c r="N143" s="183"/>
      <c r="O143" s="119">
        <f t="shared" si="72"/>
        <v>0</v>
      </c>
      <c r="P143" s="120">
        <f t="shared" si="62"/>
        <v>0</v>
      </c>
      <c r="Q143" s="323"/>
      <c r="R143" s="32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60" hidden="1" customHeight="1" x14ac:dyDescent="0.25">
      <c r="A144" s="199" t="s">
        <v>148</v>
      </c>
      <c r="B144" s="104" t="s">
        <v>9</v>
      </c>
      <c r="C144" s="104" t="s">
        <v>12</v>
      </c>
      <c r="D144" s="104" t="s">
        <v>85</v>
      </c>
      <c r="E144" s="104" t="s">
        <v>147</v>
      </c>
      <c r="F144" s="104"/>
      <c r="G144" s="104"/>
      <c r="H144" s="104"/>
      <c r="I144" s="106">
        <f>I145</f>
        <v>0</v>
      </c>
      <c r="J144" s="106">
        <f t="shared" ref="J144:K146" si="73">J145</f>
        <v>0</v>
      </c>
      <c r="K144" s="106">
        <f t="shared" si="73"/>
        <v>0</v>
      </c>
      <c r="L144" s="115"/>
      <c r="M144" s="195"/>
      <c r="N144" s="196"/>
      <c r="O144" s="20">
        <f>I144-J144-K144</f>
        <v>0</v>
      </c>
      <c r="P144" s="21" t="e">
        <f t="shared" si="62"/>
        <v>#DIV/0!</v>
      </c>
      <c r="Q144" s="321"/>
      <c r="R144" s="32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s="2" customFormat="1" ht="27.75" hidden="1" customHeight="1" x14ac:dyDescent="0.25">
      <c r="A145" s="99" t="s">
        <v>43</v>
      </c>
      <c r="B145" s="112" t="s">
        <v>9</v>
      </c>
      <c r="C145" s="112" t="s">
        <v>12</v>
      </c>
      <c r="D145" s="112" t="s">
        <v>85</v>
      </c>
      <c r="E145" s="105" t="s">
        <v>147</v>
      </c>
      <c r="F145" s="112" t="s">
        <v>63</v>
      </c>
      <c r="G145" s="112" t="s">
        <v>44</v>
      </c>
      <c r="H145" s="112"/>
      <c r="I145" s="118">
        <v>0</v>
      </c>
      <c r="J145" s="158">
        <v>0</v>
      </c>
      <c r="K145" s="118">
        <f t="shared" ref="K145" si="74">I145-J145</f>
        <v>0</v>
      </c>
      <c r="L145" s="114"/>
      <c r="M145" s="188"/>
      <c r="N145" s="189"/>
      <c r="O145" s="119">
        <f t="shared" ref="O145" si="75">I145-J145-K145</f>
        <v>0</v>
      </c>
      <c r="P145" s="120" t="e">
        <f t="shared" si="62"/>
        <v>#DIV/0!</v>
      </c>
      <c r="Q145" s="323"/>
      <c r="R145" s="3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" customFormat="1" ht="41.25" customHeight="1" x14ac:dyDescent="0.25">
      <c r="A146" s="199" t="s">
        <v>161</v>
      </c>
      <c r="B146" s="104" t="s">
        <v>9</v>
      </c>
      <c r="C146" s="104" t="s">
        <v>12</v>
      </c>
      <c r="D146" s="104" t="s">
        <v>85</v>
      </c>
      <c r="E146" s="104" t="s">
        <v>162</v>
      </c>
      <c r="F146" s="104" t="s">
        <v>63</v>
      </c>
      <c r="G146" s="104" t="s">
        <v>44</v>
      </c>
      <c r="H146" s="104"/>
      <c r="I146" s="106">
        <f>I147</f>
        <v>63000</v>
      </c>
      <c r="J146" s="106">
        <f t="shared" si="73"/>
        <v>63000</v>
      </c>
      <c r="K146" s="106">
        <f t="shared" si="73"/>
        <v>0</v>
      </c>
      <c r="L146" s="115"/>
      <c r="M146" s="195"/>
      <c r="N146" s="196"/>
      <c r="O146" s="20">
        <f>I146-J146-K146</f>
        <v>0</v>
      </c>
      <c r="P146" s="21">
        <f t="shared" si="62"/>
        <v>100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" customFormat="1" ht="27.75" customHeight="1" x14ac:dyDescent="0.25">
      <c r="A147" s="99" t="s">
        <v>43</v>
      </c>
      <c r="B147" s="112" t="s">
        <v>9</v>
      </c>
      <c r="C147" s="112" t="s">
        <v>12</v>
      </c>
      <c r="D147" s="112" t="s">
        <v>85</v>
      </c>
      <c r="E147" s="113" t="s">
        <v>162</v>
      </c>
      <c r="F147" s="112" t="s">
        <v>63</v>
      </c>
      <c r="G147" s="112" t="s">
        <v>42</v>
      </c>
      <c r="H147" s="112"/>
      <c r="I147" s="118">
        <v>63000</v>
      </c>
      <c r="J147" s="158">
        <v>63000</v>
      </c>
      <c r="K147" s="118">
        <f t="shared" ref="K147" si="76">I147-J147</f>
        <v>0</v>
      </c>
      <c r="L147" s="114"/>
      <c r="M147" s="188"/>
      <c r="N147" s="189"/>
      <c r="O147" s="119">
        <f>I147-J147-K147</f>
        <v>0</v>
      </c>
      <c r="P147" s="120">
        <f t="shared" si="62"/>
        <v>100</v>
      </c>
      <c r="Q147" s="323"/>
      <c r="R147" s="3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2" customFormat="1" ht="22.5" customHeight="1" x14ac:dyDescent="0.3">
      <c r="A148" s="333" t="s">
        <v>71</v>
      </c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5"/>
      <c r="Q148" s="336"/>
      <c r="R148" s="337"/>
    </row>
    <row r="149" spans="1:50" ht="78" x14ac:dyDescent="0.25">
      <c r="A149" s="51" t="s">
        <v>8</v>
      </c>
      <c r="B149" s="52" t="s">
        <v>9</v>
      </c>
      <c r="C149" s="52"/>
      <c r="D149" s="52"/>
      <c r="E149" s="52"/>
      <c r="F149" s="52"/>
      <c r="G149" s="52"/>
      <c r="H149" s="52"/>
      <c r="I149" s="53">
        <f>I150+I161+I157+I165+I167+I172+I175+I178+I153+I155</f>
        <v>16812171.509999998</v>
      </c>
      <c r="J149" s="53">
        <f>J150+J161+J157+J167+J172+J165+J175+J178+J153+J155</f>
        <v>41615.47</v>
      </c>
      <c r="K149" s="53">
        <f>K150+K161+K157+K165+K167+K172+K175+K178+K153+K155</f>
        <v>16770556.039999999</v>
      </c>
      <c r="L149" s="53" t="e">
        <f>L150+L161</f>
        <v>#REF!</v>
      </c>
      <c r="M149" s="53" t="e">
        <f>M150+M161</f>
        <v>#REF!</v>
      </c>
      <c r="N149" s="53" t="e">
        <f>N150+N161</f>
        <v>#REF!</v>
      </c>
      <c r="O149" s="53">
        <f>I149-J149-K149</f>
        <v>0</v>
      </c>
      <c r="P149" s="53">
        <f>P150+P161</f>
        <v>8.7204188481675402</v>
      </c>
      <c r="Q149" s="331"/>
      <c r="R149" s="331"/>
    </row>
    <row r="150" spans="1:50" ht="24" customHeight="1" x14ac:dyDescent="0.25">
      <c r="A150" s="173" t="s">
        <v>11</v>
      </c>
      <c r="B150" s="8" t="s">
        <v>9</v>
      </c>
      <c r="C150" s="8" t="s">
        <v>12</v>
      </c>
      <c r="D150" s="8"/>
      <c r="E150" s="8"/>
      <c r="F150" s="8"/>
      <c r="G150" s="8"/>
      <c r="H150" s="8"/>
      <c r="I150" s="9">
        <f>I151</f>
        <v>248300</v>
      </c>
      <c r="J150" s="9">
        <f t="shared" ref="J150:N150" si="77">J151</f>
        <v>21652.799999999999</v>
      </c>
      <c r="K150" s="9">
        <f t="shared" ref="K150:K156" si="78">I150-J150</f>
        <v>226647.2</v>
      </c>
      <c r="L150" s="9" t="e">
        <f t="shared" si="77"/>
        <v>#REF!</v>
      </c>
      <c r="M150" s="9">
        <f t="shared" si="77"/>
        <v>0</v>
      </c>
      <c r="N150" s="9">
        <f t="shared" si="77"/>
        <v>0</v>
      </c>
      <c r="O150" s="9">
        <f t="shared" ref="O150:O170" si="79">I150-J150-K150</f>
        <v>0</v>
      </c>
      <c r="P150" s="12">
        <f t="shared" ref="P150:P159" si="80">J150/I150*100</f>
        <v>8.7204188481675402</v>
      </c>
      <c r="Q150" s="331"/>
      <c r="R150" s="331"/>
    </row>
    <row r="151" spans="1:50" ht="102.75" customHeight="1" x14ac:dyDescent="0.25">
      <c r="A151" s="190" t="s">
        <v>153</v>
      </c>
      <c r="B151" s="41" t="s">
        <v>9</v>
      </c>
      <c r="C151" s="41" t="s">
        <v>12</v>
      </c>
      <c r="D151" s="41" t="s">
        <v>14</v>
      </c>
      <c r="E151" s="41" t="s">
        <v>72</v>
      </c>
      <c r="F151" s="41"/>
      <c r="G151" s="41"/>
      <c r="H151" s="41"/>
      <c r="I151" s="56">
        <f>I152</f>
        <v>248300</v>
      </c>
      <c r="J151" s="55">
        <f>J152</f>
        <v>21652.799999999999</v>
      </c>
      <c r="K151" s="55">
        <f t="shared" si="78"/>
        <v>226647.2</v>
      </c>
      <c r="L151" s="18" t="e">
        <f>L152</f>
        <v>#REF!</v>
      </c>
      <c r="M151" s="186"/>
      <c r="N151" s="187"/>
      <c r="O151" s="20">
        <f t="shared" si="79"/>
        <v>0</v>
      </c>
      <c r="P151" s="21">
        <f t="shared" si="80"/>
        <v>8.7204188481675402</v>
      </c>
      <c r="Q151" s="331"/>
      <c r="R151" s="331"/>
      <c r="S151" s="15"/>
    </row>
    <row r="152" spans="1:50" ht="18.75" x14ac:dyDescent="0.25">
      <c r="A152" s="99" t="s">
        <v>113</v>
      </c>
      <c r="B152" s="22" t="s">
        <v>9</v>
      </c>
      <c r="C152" s="22" t="s">
        <v>12</v>
      </c>
      <c r="D152" s="22" t="s">
        <v>14</v>
      </c>
      <c r="E152" s="43" t="s">
        <v>72</v>
      </c>
      <c r="F152" s="22" t="s">
        <v>63</v>
      </c>
      <c r="G152" s="22" t="s">
        <v>114</v>
      </c>
      <c r="H152" s="22"/>
      <c r="I152" s="35">
        <v>248300</v>
      </c>
      <c r="J152" s="100">
        <v>21652.799999999999</v>
      </c>
      <c r="K152" s="34">
        <f t="shared" si="78"/>
        <v>226647.2</v>
      </c>
      <c r="L152" s="24" t="e">
        <f>#REF!</f>
        <v>#REF!</v>
      </c>
      <c r="M152" s="184"/>
      <c r="N152" s="185"/>
      <c r="O152" s="25">
        <f t="shared" si="79"/>
        <v>0</v>
      </c>
      <c r="P152" s="26">
        <f t="shared" si="80"/>
        <v>8.7204188481675402</v>
      </c>
      <c r="Q152" s="331"/>
      <c r="R152" s="331"/>
      <c r="Z152" s="15"/>
      <c r="AA152" s="15"/>
      <c r="AB152" s="15"/>
      <c r="AC152" s="15"/>
      <c r="AD152" s="15"/>
    </row>
    <row r="153" spans="1:50" ht="131.25" customHeight="1" x14ac:dyDescent="0.25">
      <c r="A153" s="190" t="s">
        <v>154</v>
      </c>
      <c r="B153" s="41" t="s">
        <v>9</v>
      </c>
      <c r="C153" s="41" t="s">
        <v>12</v>
      </c>
      <c r="D153" s="41" t="s">
        <v>14</v>
      </c>
      <c r="E153" s="41" t="s">
        <v>159</v>
      </c>
      <c r="F153" s="41"/>
      <c r="G153" s="41"/>
      <c r="H153" s="41"/>
      <c r="I153" s="56">
        <f>I154</f>
        <v>314600</v>
      </c>
      <c r="J153" s="55">
        <f>J154</f>
        <v>19962.669999999998</v>
      </c>
      <c r="K153" s="55">
        <f t="shared" si="78"/>
        <v>294637.33</v>
      </c>
      <c r="L153" s="18" t="e">
        <f>L154</f>
        <v>#REF!</v>
      </c>
      <c r="M153" s="186"/>
      <c r="N153" s="187"/>
      <c r="O153" s="20">
        <f t="shared" si="79"/>
        <v>0</v>
      </c>
      <c r="P153" s="21">
        <f t="shared" si="80"/>
        <v>6.3454132231404952</v>
      </c>
      <c r="Q153" s="331"/>
      <c r="R153" s="331"/>
      <c r="S153" s="15"/>
    </row>
    <row r="154" spans="1:50" ht="18.75" x14ac:dyDescent="0.25">
      <c r="A154" s="99" t="s">
        <v>113</v>
      </c>
      <c r="B154" s="22" t="s">
        <v>9</v>
      </c>
      <c r="C154" s="22" t="s">
        <v>12</v>
      </c>
      <c r="D154" s="22" t="s">
        <v>14</v>
      </c>
      <c r="E154" s="43" t="s">
        <v>159</v>
      </c>
      <c r="F154" s="22" t="s">
        <v>63</v>
      </c>
      <c r="G154" s="22" t="s">
        <v>114</v>
      </c>
      <c r="H154" s="22"/>
      <c r="I154" s="35">
        <v>314600</v>
      </c>
      <c r="J154" s="100">
        <v>19962.669999999998</v>
      </c>
      <c r="K154" s="34">
        <f t="shared" si="78"/>
        <v>294637.33</v>
      </c>
      <c r="L154" s="24" t="e">
        <f>#REF!</f>
        <v>#REF!</v>
      </c>
      <c r="M154" s="184"/>
      <c r="N154" s="185"/>
      <c r="O154" s="25">
        <f t="shared" si="79"/>
        <v>0</v>
      </c>
      <c r="P154" s="26">
        <f t="shared" si="80"/>
        <v>6.3454132231404952</v>
      </c>
      <c r="Q154" s="331"/>
      <c r="R154" s="331"/>
      <c r="Z154" s="15"/>
      <c r="AA154" s="15"/>
      <c r="AB154" s="15"/>
      <c r="AC154" s="15"/>
      <c r="AD154" s="15"/>
    </row>
    <row r="155" spans="1:50" ht="117.75" customHeight="1" x14ac:dyDescent="0.25">
      <c r="A155" s="190" t="s">
        <v>154</v>
      </c>
      <c r="B155" s="41" t="s">
        <v>9</v>
      </c>
      <c r="C155" s="41" t="s">
        <v>12</v>
      </c>
      <c r="D155" s="41" t="s">
        <v>14</v>
      </c>
      <c r="E155" s="41" t="s">
        <v>160</v>
      </c>
      <c r="F155" s="41"/>
      <c r="G155" s="41"/>
      <c r="H155" s="41"/>
      <c r="I155" s="56">
        <f>I156</f>
        <v>4398775.51</v>
      </c>
      <c r="J155" s="55">
        <f>J156</f>
        <v>0</v>
      </c>
      <c r="K155" s="55">
        <f t="shared" si="78"/>
        <v>4398775.51</v>
      </c>
      <c r="L155" s="18" t="e">
        <f>L156</f>
        <v>#REF!</v>
      </c>
      <c r="M155" s="186"/>
      <c r="N155" s="187"/>
      <c r="O155" s="20">
        <f t="shared" si="79"/>
        <v>0</v>
      </c>
      <c r="P155" s="21">
        <f t="shared" si="80"/>
        <v>0</v>
      </c>
      <c r="Q155" s="331"/>
      <c r="R155" s="331"/>
      <c r="S155" s="15"/>
    </row>
    <row r="156" spans="1:50" ht="18.75" x14ac:dyDescent="0.25">
      <c r="A156" s="99" t="s">
        <v>113</v>
      </c>
      <c r="B156" s="22" t="s">
        <v>9</v>
      </c>
      <c r="C156" s="22" t="s">
        <v>12</v>
      </c>
      <c r="D156" s="22" t="s">
        <v>14</v>
      </c>
      <c r="E156" s="43" t="s">
        <v>160</v>
      </c>
      <c r="F156" s="22" t="s">
        <v>22</v>
      </c>
      <c r="G156" s="22" t="s">
        <v>114</v>
      </c>
      <c r="H156" s="22"/>
      <c r="I156" s="35">
        <v>4398775.51</v>
      </c>
      <c r="J156" s="100">
        <v>0</v>
      </c>
      <c r="K156" s="34">
        <f t="shared" si="78"/>
        <v>4398775.51</v>
      </c>
      <c r="L156" s="24" t="e">
        <f>#REF!</f>
        <v>#REF!</v>
      </c>
      <c r="M156" s="184"/>
      <c r="N156" s="185"/>
      <c r="O156" s="25">
        <f t="shared" si="79"/>
        <v>0</v>
      </c>
      <c r="P156" s="26">
        <f t="shared" si="80"/>
        <v>0</v>
      </c>
      <c r="Q156" s="331"/>
      <c r="R156" s="331"/>
      <c r="Z156" s="15"/>
      <c r="AA156" s="15"/>
      <c r="AB156" s="15"/>
      <c r="AC156" s="15"/>
      <c r="AD156" s="15"/>
    </row>
    <row r="157" spans="1:50" ht="56.25" hidden="1" x14ac:dyDescent="0.25">
      <c r="A157" s="199" t="s">
        <v>143</v>
      </c>
      <c r="B157" s="104" t="s">
        <v>9</v>
      </c>
      <c r="C157" s="104" t="s">
        <v>12</v>
      </c>
      <c r="D157" s="104" t="s">
        <v>14</v>
      </c>
      <c r="E157" s="104" t="s">
        <v>138</v>
      </c>
      <c r="F157" s="104"/>
      <c r="G157" s="104"/>
      <c r="H157" s="104"/>
      <c r="I157" s="106">
        <f>I159+I158+I160</f>
        <v>0</v>
      </c>
      <c r="J157" s="106">
        <f>J159+J158+J160</f>
        <v>0</v>
      </c>
      <c r="K157" s="106">
        <f t="shared" ref="K157" si="81">K159</f>
        <v>0</v>
      </c>
      <c r="L157" s="115"/>
      <c r="M157" s="195"/>
      <c r="N157" s="196"/>
      <c r="O157" s="20">
        <f>I157-J157-K157</f>
        <v>0</v>
      </c>
      <c r="P157" s="21" t="e">
        <f t="shared" si="80"/>
        <v>#DIV/0!</v>
      </c>
      <c r="Q157" s="331"/>
      <c r="R157" s="331"/>
      <c r="Z157" s="15"/>
      <c r="AA157" s="15"/>
      <c r="AB157" s="15"/>
      <c r="AC157" s="15"/>
      <c r="AD157" s="15"/>
    </row>
    <row r="158" spans="1:50" ht="18.75" hidden="1" x14ac:dyDescent="0.25">
      <c r="A158" s="200" t="s">
        <v>43</v>
      </c>
      <c r="B158" s="112" t="s">
        <v>9</v>
      </c>
      <c r="C158" s="112" t="s">
        <v>12</v>
      </c>
      <c r="D158" s="112" t="s">
        <v>14</v>
      </c>
      <c r="E158" s="113" t="s">
        <v>138</v>
      </c>
      <c r="F158" s="112" t="s">
        <v>63</v>
      </c>
      <c r="G158" s="112" t="s">
        <v>44</v>
      </c>
      <c r="H158" s="129"/>
      <c r="I158" s="118">
        <v>0</v>
      </c>
      <c r="J158" s="158">
        <v>0</v>
      </c>
      <c r="K158" s="116"/>
      <c r="L158" s="135"/>
      <c r="M158" s="182"/>
      <c r="N158" s="183"/>
      <c r="O158" s="119"/>
      <c r="P158" s="120"/>
      <c r="Q158" s="331"/>
      <c r="R158" s="331"/>
      <c r="Z158" s="15"/>
      <c r="AA158" s="15"/>
      <c r="AB158" s="15"/>
      <c r="AC158" s="15"/>
      <c r="AD158" s="15"/>
    </row>
    <row r="159" spans="1:50" ht="25.5" hidden="1" customHeight="1" x14ac:dyDescent="0.25">
      <c r="A159" s="99" t="s">
        <v>47</v>
      </c>
      <c r="B159" s="112" t="s">
        <v>9</v>
      </c>
      <c r="C159" s="112" t="s">
        <v>12</v>
      </c>
      <c r="D159" s="112" t="s">
        <v>14</v>
      </c>
      <c r="E159" s="113" t="s">
        <v>138</v>
      </c>
      <c r="F159" s="112" t="s">
        <v>63</v>
      </c>
      <c r="G159" s="112" t="s">
        <v>48</v>
      </c>
      <c r="H159" s="112"/>
      <c r="I159" s="118">
        <v>0</v>
      </c>
      <c r="J159" s="158">
        <v>0</v>
      </c>
      <c r="K159" s="118">
        <f t="shared" ref="K159:K171" si="82">I159-J159</f>
        <v>0</v>
      </c>
      <c r="L159" s="114"/>
      <c r="M159" s="188"/>
      <c r="N159" s="189"/>
      <c r="O159" s="119">
        <f t="shared" ref="O159" si="83">I159-J159-K159</f>
        <v>0</v>
      </c>
      <c r="P159" s="120" t="e">
        <f t="shared" si="80"/>
        <v>#DIV/0!</v>
      </c>
      <c r="Q159" s="331"/>
      <c r="R159" s="331"/>
      <c r="Z159" s="15"/>
      <c r="AA159" s="15"/>
      <c r="AB159" s="15"/>
      <c r="AC159" s="15"/>
      <c r="AD159" s="15"/>
    </row>
    <row r="160" spans="1:50" ht="25.5" hidden="1" customHeight="1" x14ac:dyDescent="0.25">
      <c r="A160" s="175" t="s">
        <v>109</v>
      </c>
      <c r="B160" s="112" t="s">
        <v>9</v>
      </c>
      <c r="C160" s="112" t="s">
        <v>12</v>
      </c>
      <c r="D160" s="112" t="s">
        <v>14</v>
      </c>
      <c r="E160" s="113" t="s">
        <v>138</v>
      </c>
      <c r="F160" s="112" t="s">
        <v>63</v>
      </c>
      <c r="G160" s="112" t="s">
        <v>104</v>
      </c>
      <c r="H160" s="112"/>
      <c r="I160" s="118">
        <v>0</v>
      </c>
      <c r="J160" s="158">
        <v>0</v>
      </c>
      <c r="K160" s="118"/>
      <c r="L160" s="114"/>
      <c r="M160" s="188"/>
      <c r="N160" s="189"/>
      <c r="O160" s="119"/>
      <c r="P160" s="120"/>
      <c r="Q160" s="331"/>
      <c r="R160" s="331"/>
      <c r="Z160" s="15"/>
      <c r="AA160" s="15"/>
      <c r="AB160" s="15"/>
      <c r="AC160" s="15"/>
      <c r="AD160" s="15"/>
    </row>
    <row r="161" spans="1:50" s="47" customFormat="1" ht="19.5" x14ac:dyDescent="0.35">
      <c r="A161" s="58" t="s">
        <v>75</v>
      </c>
      <c r="B161" s="59" t="s">
        <v>9</v>
      </c>
      <c r="C161" s="59" t="s">
        <v>76</v>
      </c>
      <c r="D161" s="59"/>
      <c r="E161" s="59"/>
      <c r="F161" s="59"/>
      <c r="G161" s="59"/>
      <c r="H161" s="59"/>
      <c r="I161" s="60">
        <f t="shared" ref="I161:J165" si="84">I162</f>
        <v>5202484</v>
      </c>
      <c r="J161" s="60">
        <f t="shared" si="84"/>
        <v>0</v>
      </c>
      <c r="K161" s="60">
        <f t="shared" si="82"/>
        <v>5202484</v>
      </c>
      <c r="L161" s="60" t="e">
        <f>L162+#REF!</f>
        <v>#REF!</v>
      </c>
      <c r="M161" s="60" t="e">
        <f>M162+#REF!</f>
        <v>#REF!</v>
      </c>
      <c r="N161" s="60" t="e">
        <f>N162+#REF!</f>
        <v>#REF!</v>
      </c>
      <c r="O161" s="60">
        <f t="shared" si="79"/>
        <v>0</v>
      </c>
      <c r="P161" s="61">
        <f t="shared" ref="P161:P162" si="85">J161*100/I161</f>
        <v>0</v>
      </c>
      <c r="Q161" s="331"/>
      <c r="R161" s="331"/>
    </row>
    <row r="162" spans="1:50" ht="19.5" x14ac:dyDescent="0.35">
      <c r="A162" s="62" t="s">
        <v>77</v>
      </c>
      <c r="B162" s="63" t="s">
        <v>9</v>
      </c>
      <c r="C162" s="63" t="s">
        <v>76</v>
      </c>
      <c r="D162" s="63" t="s">
        <v>78</v>
      </c>
      <c r="E162" s="63"/>
      <c r="F162" s="63"/>
      <c r="G162" s="63"/>
      <c r="H162" s="63"/>
      <c r="I162" s="125">
        <f t="shared" si="84"/>
        <v>5202484</v>
      </c>
      <c r="J162" s="125">
        <f t="shared" si="84"/>
        <v>0</v>
      </c>
      <c r="K162" s="64">
        <f t="shared" si="82"/>
        <v>5202484</v>
      </c>
      <c r="L162" s="64" t="e">
        <f t="shared" ref="L162:N162" si="86">L163</f>
        <v>#REF!</v>
      </c>
      <c r="M162" s="64">
        <f t="shared" si="86"/>
        <v>0</v>
      </c>
      <c r="N162" s="64">
        <f t="shared" si="86"/>
        <v>0</v>
      </c>
      <c r="O162" s="64">
        <f t="shared" si="79"/>
        <v>0</v>
      </c>
      <c r="P162" s="65">
        <f t="shared" si="85"/>
        <v>0</v>
      </c>
      <c r="Q162" s="331"/>
      <c r="R162" s="331"/>
    </row>
    <row r="163" spans="1:50" ht="135.75" customHeight="1" x14ac:dyDescent="0.25">
      <c r="A163" s="86" t="s">
        <v>79</v>
      </c>
      <c r="B163" s="41" t="s">
        <v>9</v>
      </c>
      <c r="C163" s="41" t="s">
        <v>76</v>
      </c>
      <c r="D163" s="41" t="s">
        <v>78</v>
      </c>
      <c r="E163" s="66">
        <v>7110175110</v>
      </c>
      <c r="F163" s="41"/>
      <c r="G163" s="41"/>
      <c r="H163" s="41"/>
      <c r="I163" s="17">
        <f t="shared" si="84"/>
        <v>5202484</v>
      </c>
      <c r="J163" s="17">
        <f t="shared" si="84"/>
        <v>0</v>
      </c>
      <c r="K163" s="17">
        <f t="shared" si="82"/>
        <v>5202484</v>
      </c>
      <c r="L163" s="18" t="e">
        <f>L164</f>
        <v>#REF!</v>
      </c>
      <c r="M163" s="186"/>
      <c r="N163" s="187"/>
      <c r="O163" s="20">
        <f t="shared" si="79"/>
        <v>0</v>
      </c>
      <c r="P163" s="21">
        <f>J163/I163*100</f>
        <v>0</v>
      </c>
      <c r="Q163" s="331"/>
      <c r="R163" s="331"/>
    </row>
    <row r="164" spans="1:50" s="46" customFormat="1" ht="37.5" x14ac:dyDescent="0.25">
      <c r="A164" s="175" t="s">
        <v>93</v>
      </c>
      <c r="B164" s="22" t="s">
        <v>9</v>
      </c>
      <c r="C164" s="22" t="s">
        <v>76</v>
      </c>
      <c r="D164" s="22" t="s">
        <v>78</v>
      </c>
      <c r="E164" s="67">
        <v>7110175100</v>
      </c>
      <c r="F164" s="22" t="s">
        <v>63</v>
      </c>
      <c r="G164" s="22" t="s">
        <v>94</v>
      </c>
      <c r="H164" s="22"/>
      <c r="I164" s="35">
        <v>5202484</v>
      </c>
      <c r="J164" s="35">
        <v>0</v>
      </c>
      <c r="K164" s="23">
        <f t="shared" si="82"/>
        <v>5202484</v>
      </c>
      <c r="L164" s="24" t="e">
        <f>#REF!</f>
        <v>#REF!</v>
      </c>
      <c r="M164" s="182"/>
      <c r="N164" s="183"/>
      <c r="O164" s="25">
        <f t="shared" si="79"/>
        <v>0</v>
      </c>
      <c r="P164" s="26">
        <f t="shared" ref="P164" si="87">J164/I164*100</f>
        <v>0</v>
      </c>
      <c r="Q164" s="331"/>
      <c r="R164" s="331"/>
      <c r="S164" s="1"/>
      <c r="T164" s="1"/>
      <c r="U164" s="1"/>
      <c r="V164" s="1"/>
      <c r="W164" s="1"/>
      <c r="X164" s="1"/>
      <c r="Y164" s="1"/>
      <c r="Z164" s="68"/>
      <c r="AA164" s="68"/>
      <c r="AB164" s="68"/>
      <c r="AC164" s="68"/>
      <c r="AD164" s="68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62.25" hidden="1" customHeight="1" x14ac:dyDescent="0.25">
      <c r="A165" s="40" t="s">
        <v>139</v>
      </c>
      <c r="B165" s="41" t="s">
        <v>9</v>
      </c>
      <c r="C165" s="41" t="s">
        <v>12</v>
      </c>
      <c r="D165" s="41" t="s">
        <v>14</v>
      </c>
      <c r="E165" s="66" t="s">
        <v>135</v>
      </c>
      <c r="F165" s="41"/>
      <c r="G165" s="41"/>
      <c r="H165" s="41"/>
      <c r="I165" s="17">
        <f t="shared" si="84"/>
        <v>0</v>
      </c>
      <c r="J165" s="17">
        <f t="shared" si="84"/>
        <v>0</v>
      </c>
      <c r="K165" s="17">
        <f t="shared" si="82"/>
        <v>0</v>
      </c>
      <c r="L165" s="18" t="e">
        <f>L166</f>
        <v>#REF!</v>
      </c>
      <c r="M165" s="186"/>
      <c r="N165" s="187"/>
      <c r="O165" s="20">
        <f t="shared" si="79"/>
        <v>0</v>
      </c>
      <c r="P165" s="21" t="e">
        <f>J165/I165*100</f>
        <v>#DIV/0!</v>
      </c>
      <c r="Q165" s="331"/>
      <c r="R165" s="331"/>
    </row>
    <row r="166" spans="1:50" s="46" customFormat="1" ht="18.75" hidden="1" x14ac:dyDescent="0.25">
      <c r="A166" s="99" t="s">
        <v>47</v>
      </c>
      <c r="B166" s="22" t="s">
        <v>9</v>
      </c>
      <c r="C166" s="16" t="s">
        <v>12</v>
      </c>
      <c r="D166" s="16" t="s">
        <v>14</v>
      </c>
      <c r="E166" s="134" t="s">
        <v>135</v>
      </c>
      <c r="F166" s="22" t="s">
        <v>63</v>
      </c>
      <c r="G166" s="22" t="s">
        <v>48</v>
      </c>
      <c r="H166" s="22"/>
      <c r="I166" s="35">
        <v>0</v>
      </c>
      <c r="J166" s="35">
        <v>0</v>
      </c>
      <c r="K166" s="23">
        <f t="shared" si="82"/>
        <v>0</v>
      </c>
      <c r="L166" s="24" t="e">
        <f>#REF!</f>
        <v>#REF!</v>
      </c>
      <c r="M166" s="182"/>
      <c r="N166" s="183"/>
      <c r="O166" s="25">
        <f t="shared" si="79"/>
        <v>0</v>
      </c>
      <c r="P166" s="26" t="e">
        <f t="shared" ref="P166" si="88">J166/I166*100</f>
        <v>#DIV/0!</v>
      </c>
      <c r="Q166" s="331"/>
      <c r="R166" s="331"/>
      <c r="S166" s="1"/>
      <c r="T166" s="1"/>
      <c r="U166" s="1"/>
      <c r="V166" s="1"/>
      <c r="W166" s="1"/>
      <c r="X166" s="1"/>
      <c r="Y166" s="1"/>
      <c r="Z166" s="68"/>
      <c r="AA166" s="68"/>
      <c r="AB166" s="68"/>
      <c r="AC166" s="68"/>
      <c r="AD166" s="68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62.25" hidden="1" customHeight="1" x14ac:dyDescent="0.25">
      <c r="A167" s="199" t="s">
        <v>148</v>
      </c>
      <c r="B167" s="41" t="s">
        <v>9</v>
      </c>
      <c r="C167" s="41" t="s">
        <v>12</v>
      </c>
      <c r="D167" s="41" t="s">
        <v>85</v>
      </c>
      <c r="E167" s="66">
        <v>7010470790</v>
      </c>
      <c r="F167" s="41"/>
      <c r="G167" s="41"/>
      <c r="H167" s="41"/>
      <c r="I167" s="17">
        <f>I170+I168+I169+I171</f>
        <v>0</v>
      </c>
      <c r="J167" s="17">
        <f>J170+J168+J169+J171</f>
        <v>0</v>
      </c>
      <c r="K167" s="17">
        <f t="shared" si="82"/>
        <v>0</v>
      </c>
      <c r="L167" s="18" t="e">
        <f>L170</f>
        <v>#REF!</v>
      </c>
      <c r="M167" s="186"/>
      <c r="N167" s="187"/>
      <c r="O167" s="20">
        <f t="shared" si="79"/>
        <v>0</v>
      </c>
      <c r="P167" s="21" t="e">
        <f>J167/I167*100</f>
        <v>#DIV/0!</v>
      </c>
      <c r="Q167" s="331"/>
      <c r="R167" s="331"/>
    </row>
    <row r="168" spans="1:50" ht="27" hidden="1" customHeight="1" x14ac:dyDescent="0.25">
      <c r="A168" s="200" t="s">
        <v>56</v>
      </c>
      <c r="B168" s="22" t="s">
        <v>9</v>
      </c>
      <c r="C168" s="22" t="s">
        <v>12</v>
      </c>
      <c r="D168" s="22" t="s">
        <v>85</v>
      </c>
      <c r="E168" s="67">
        <v>7010470790</v>
      </c>
      <c r="F168" s="22" t="s">
        <v>63</v>
      </c>
      <c r="G168" s="22" t="s">
        <v>38</v>
      </c>
      <c r="H168" s="22"/>
      <c r="I168" s="23"/>
      <c r="J168" s="23"/>
      <c r="K168" s="23">
        <f>I168-J168</f>
        <v>0</v>
      </c>
      <c r="L168" s="24"/>
      <c r="M168" s="182"/>
      <c r="N168" s="183"/>
      <c r="O168" s="25"/>
      <c r="P168" s="26"/>
      <c r="Q168" s="331"/>
      <c r="R168" s="331"/>
    </row>
    <row r="169" spans="1:50" ht="20.25" hidden="1" customHeight="1" x14ac:dyDescent="0.25">
      <c r="A169" s="200" t="s">
        <v>43</v>
      </c>
      <c r="B169" s="22" t="s">
        <v>9</v>
      </c>
      <c r="C169" s="22" t="s">
        <v>12</v>
      </c>
      <c r="D169" s="22" t="s">
        <v>85</v>
      </c>
      <c r="E169" s="67">
        <v>7010470790</v>
      </c>
      <c r="F169" s="22" t="s">
        <v>63</v>
      </c>
      <c r="G169" s="22" t="s">
        <v>44</v>
      </c>
      <c r="H169" s="22"/>
      <c r="I169" s="23"/>
      <c r="J169" s="23"/>
      <c r="K169" s="23">
        <f>I169-J169</f>
        <v>0</v>
      </c>
      <c r="L169" s="24"/>
      <c r="M169" s="182"/>
      <c r="N169" s="183"/>
      <c r="O169" s="25"/>
      <c r="P169" s="26"/>
      <c r="Q169" s="331"/>
      <c r="R169" s="331"/>
    </row>
    <row r="170" spans="1:50" s="2" customFormat="1" ht="24" hidden="1" customHeight="1" x14ac:dyDescent="0.25">
      <c r="A170" s="201" t="s">
        <v>47</v>
      </c>
      <c r="B170" s="112" t="s">
        <v>9</v>
      </c>
      <c r="C170" s="112" t="s">
        <v>12</v>
      </c>
      <c r="D170" s="112" t="s">
        <v>85</v>
      </c>
      <c r="E170" s="138">
        <v>7010470790</v>
      </c>
      <c r="F170" s="112" t="s">
        <v>63</v>
      </c>
      <c r="G170" s="112" t="s">
        <v>48</v>
      </c>
      <c r="H170" s="112"/>
      <c r="I170" s="116"/>
      <c r="J170" s="116"/>
      <c r="K170" s="116">
        <f t="shared" si="82"/>
        <v>0</v>
      </c>
      <c r="L170" s="136" t="e">
        <f>#REF!</f>
        <v>#REF!</v>
      </c>
      <c r="M170" s="182"/>
      <c r="N170" s="183"/>
      <c r="O170" s="119">
        <f t="shared" si="79"/>
        <v>0</v>
      </c>
      <c r="P170" s="120" t="e">
        <f t="shared" ref="P170:P172" si="89">J170/I170*100</f>
        <v>#DIV/0!</v>
      </c>
      <c r="Q170" s="332"/>
      <c r="R170" s="332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2" customFormat="1" ht="24" hidden="1" customHeight="1" x14ac:dyDescent="0.25">
      <c r="A171" s="175" t="s">
        <v>109</v>
      </c>
      <c r="B171" s="112" t="s">
        <v>9</v>
      </c>
      <c r="C171" s="112" t="s">
        <v>12</v>
      </c>
      <c r="D171" s="112" t="s">
        <v>85</v>
      </c>
      <c r="E171" s="138">
        <v>7010470790</v>
      </c>
      <c r="F171" s="112" t="s">
        <v>63</v>
      </c>
      <c r="G171" s="112" t="s">
        <v>104</v>
      </c>
      <c r="H171" s="22"/>
      <c r="I171" s="23"/>
      <c r="J171" s="23"/>
      <c r="K171" s="116">
        <f t="shared" si="82"/>
        <v>0</v>
      </c>
      <c r="L171" s="137"/>
      <c r="M171" s="149"/>
      <c r="N171" s="152"/>
      <c r="O171" s="119">
        <f>I171-J171-K171</f>
        <v>0</v>
      </c>
      <c r="P171" s="120" t="e">
        <f t="shared" si="89"/>
        <v>#DIV/0!</v>
      </c>
      <c r="Q171" s="332"/>
      <c r="R171" s="332"/>
      <c r="S171" s="1"/>
      <c r="T171" s="1"/>
      <c r="U171" s="1"/>
      <c r="V171" s="1"/>
      <c r="W171" s="1"/>
      <c r="X171" s="1"/>
      <c r="Y171" s="1"/>
      <c r="Z171" s="68"/>
      <c r="AA171" s="68"/>
      <c r="AB171" s="68"/>
      <c r="AC171" s="68"/>
      <c r="AD171" s="6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2" customFormat="1" ht="60" hidden="1" customHeight="1" x14ac:dyDescent="0.25">
      <c r="A172" s="199" t="s">
        <v>145</v>
      </c>
      <c r="B172" s="104" t="s">
        <v>9</v>
      </c>
      <c r="C172" s="104" t="s">
        <v>12</v>
      </c>
      <c r="D172" s="104" t="s">
        <v>12</v>
      </c>
      <c r="E172" s="104" t="s">
        <v>149</v>
      </c>
      <c r="F172" s="104"/>
      <c r="G172" s="104"/>
      <c r="H172" s="104"/>
      <c r="I172" s="106">
        <f>I173+I174</f>
        <v>0</v>
      </c>
      <c r="J172" s="106">
        <f>J174+J173</f>
        <v>0</v>
      </c>
      <c r="K172" s="106">
        <f>K174+K173</f>
        <v>0</v>
      </c>
      <c r="L172" s="115"/>
      <c r="M172" s="195"/>
      <c r="N172" s="196"/>
      <c r="O172" s="20">
        <f>I172-J172-K172</f>
        <v>0</v>
      </c>
      <c r="P172" s="21" t="e">
        <f t="shared" si="89"/>
        <v>#DIV/0!</v>
      </c>
      <c r="Q172" s="321"/>
      <c r="R172" s="32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33" hidden="1" customHeight="1" x14ac:dyDescent="0.25">
      <c r="A173" s="194" t="s">
        <v>27</v>
      </c>
      <c r="B173" s="112" t="s">
        <v>9</v>
      </c>
      <c r="C173" s="112" t="s">
        <v>12</v>
      </c>
      <c r="D173" s="112" t="s">
        <v>12</v>
      </c>
      <c r="E173" s="112" t="s">
        <v>149</v>
      </c>
      <c r="F173" s="112" t="s">
        <v>63</v>
      </c>
      <c r="G173" s="112" t="s">
        <v>28</v>
      </c>
      <c r="H173" s="129"/>
      <c r="I173" s="116"/>
      <c r="J173" s="117"/>
      <c r="K173" s="130">
        <f>I173-J173</f>
        <v>0</v>
      </c>
      <c r="L173" s="131"/>
      <c r="M173" s="184"/>
      <c r="N173" s="185"/>
      <c r="O173" s="132"/>
      <c r="P173" s="133"/>
      <c r="Q173" s="325"/>
      <c r="R173" s="326"/>
    </row>
    <row r="174" spans="1:50" s="2" customFormat="1" ht="27.75" hidden="1" customHeight="1" x14ac:dyDescent="0.25">
      <c r="A174" s="175" t="s">
        <v>31</v>
      </c>
      <c r="B174" s="112" t="s">
        <v>9</v>
      </c>
      <c r="C174" s="112" t="s">
        <v>12</v>
      </c>
      <c r="D174" s="112" t="s">
        <v>12</v>
      </c>
      <c r="E174" s="112" t="s">
        <v>149</v>
      </c>
      <c r="F174" s="112" t="s">
        <v>63</v>
      </c>
      <c r="G174" s="112" t="s">
        <v>32</v>
      </c>
      <c r="H174" s="112"/>
      <c r="I174" s="116"/>
      <c r="J174" s="117"/>
      <c r="K174" s="116">
        <f>I174-J174</f>
        <v>0</v>
      </c>
      <c r="L174" s="131"/>
      <c r="M174" s="182"/>
      <c r="N174" s="183"/>
      <c r="O174" s="119">
        <f t="shared" ref="O174" si="90">I174-J174-K174</f>
        <v>0</v>
      </c>
      <c r="P174" s="120" t="e">
        <f t="shared" ref="P174:P180" si="91">J174/I174*100</f>
        <v>#DIV/0!</v>
      </c>
      <c r="Q174" s="323"/>
      <c r="R174" s="32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s="2" customFormat="1" ht="60" customHeight="1" x14ac:dyDescent="0.25">
      <c r="A175" s="199" t="s">
        <v>156</v>
      </c>
      <c r="B175" s="104" t="s">
        <v>9</v>
      </c>
      <c r="C175" s="104" t="s">
        <v>12</v>
      </c>
      <c r="D175" s="104" t="s">
        <v>14</v>
      </c>
      <c r="E175" s="104" t="s">
        <v>157</v>
      </c>
      <c r="F175" s="104"/>
      <c r="G175" s="104"/>
      <c r="H175" s="104"/>
      <c r="I175" s="106">
        <f>I176+I177</f>
        <v>6358968</v>
      </c>
      <c r="J175" s="106">
        <f>J177+J176</f>
        <v>0</v>
      </c>
      <c r="K175" s="106">
        <f>K177+K176</f>
        <v>6358968</v>
      </c>
      <c r="L175" s="115"/>
      <c r="M175" s="195"/>
      <c r="N175" s="196"/>
      <c r="O175" s="20">
        <f>I175-J175-K175</f>
        <v>0</v>
      </c>
      <c r="P175" s="21">
        <f t="shared" si="91"/>
        <v>0</v>
      </c>
      <c r="Q175" s="321"/>
      <c r="R175" s="32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33" customHeight="1" x14ac:dyDescent="0.25">
      <c r="A176" s="194" t="s">
        <v>27</v>
      </c>
      <c r="B176" s="112" t="s">
        <v>9</v>
      </c>
      <c r="C176" s="112" t="s">
        <v>12</v>
      </c>
      <c r="D176" s="112" t="s">
        <v>14</v>
      </c>
      <c r="E176" s="112" t="s">
        <v>157</v>
      </c>
      <c r="F176" s="112" t="s">
        <v>63</v>
      </c>
      <c r="G176" s="112" t="s">
        <v>28</v>
      </c>
      <c r="H176" s="129"/>
      <c r="I176" s="116">
        <v>4884000</v>
      </c>
      <c r="J176" s="117">
        <v>0</v>
      </c>
      <c r="K176" s="116">
        <f>I176-J176</f>
        <v>4884000</v>
      </c>
      <c r="L176" s="131"/>
      <c r="M176" s="184"/>
      <c r="N176" s="185"/>
      <c r="O176" s="119">
        <f t="shared" ref="O176:O177" si="92">I176-J176-K176</f>
        <v>0</v>
      </c>
      <c r="P176" s="120">
        <f t="shared" si="91"/>
        <v>0</v>
      </c>
      <c r="Q176" s="325"/>
      <c r="R176" s="326"/>
    </row>
    <row r="177" spans="1:50" s="2" customFormat="1" ht="27.75" customHeight="1" x14ac:dyDescent="0.25">
      <c r="A177" s="175" t="s">
        <v>31</v>
      </c>
      <c r="B177" s="112" t="s">
        <v>9</v>
      </c>
      <c r="C177" s="112" t="s">
        <v>12</v>
      </c>
      <c r="D177" s="112" t="s">
        <v>14</v>
      </c>
      <c r="E177" s="112" t="s">
        <v>157</v>
      </c>
      <c r="F177" s="112" t="s">
        <v>63</v>
      </c>
      <c r="G177" s="112" t="s">
        <v>32</v>
      </c>
      <c r="H177" s="112"/>
      <c r="I177" s="116">
        <v>1474968</v>
      </c>
      <c r="J177" s="117">
        <v>0</v>
      </c>
      <c r="K177" s="116">
        <f>I177-J177</f>
        <v>1474968</v>
      </c>
      <c r="L177" s="131"/>
      <c r="M177" s="182"/>
      <c r="N177" s="183"/>
      <c r="O177" s="119">
        <f t="shared" si="92"/>
        <v>0</v>
      </c>
      <c r="P177" s="120">
        <f t="shared" si="91"/>
        <v>0</v>
      </c>
      <c r="Q177" s="323"/>
      <c r="R177" s="32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customHeight="1" x14ac:dyDescent="0.25">
      <c r="A178" s="199" t="s">
        <v>156</v>
      </c>
      <c r="B178" s="104" t="s">
        <v>9</v>
      </c>
      <c r="C178" s="104" t="s">
        <v>12</v>
      </c>
      <c r="D178" s="104" t="s">
        <v>14</v>
      </c>
      <c r="E178" s="104" t="s">
        <v>158</v>
      </c>
      <c r="F178" s="104"/>
      <c r="G178" s="104"/>
      <c r="H178" s="104"/>
      <c r="I178" s="106">
        <f>I179+I180</f>
        <v>289044</v>
      </c>
      <c r="J178" s="106">
        <f>J180+J179</f>
        <v>0</v>
      </c>
      <c r="K178" s="106">
        <f>K180+K179</f>
        <v>289044</v>
      </c>
      <c r="L178" s="115"/>
      <c r="M178" s="195"/>
      <c r="N178" s="196"/>
      <c r="O178" s="20">
        <f>I178-J178-K178</f>
        <v>0</v>
      </c>
      <c r="P178" s="21">
        <f t="shared" si="91"/>
        <v>0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customHeight="1" x14ac:dyDescent="0.25">
      <c r="A179" s="194" t="s">
        <v>27</v>
      </c>
      <c r="B179" s="112" t="s">
        <v>9</v>
      </c>
      <c r="C179" s="112" t="s">
        <v>12</v>
      </c>
      <c r="D179" s="112" t="s">
        <v>14</v>
      </c>
      <c r="E179" s="112" t="s">
        <v>158</v>
      </c>
      <c r="F179" s="112" t="s">
        <v>63</v>
      </c>
      <c r="G179" s="112" t="s">
        <v>28</v>
      </c>
      <c r="H179" s="129"/>
      <c r="I179" s="116">
        <v>222000</v>
      </c>
      <c r="J179" s="117">
        <v>0</v>
      </c>
      <c r="K179" s="130">
        <f>I179-J179</f>
        <v>222000</v>
      </c>
      <c r="L179" s="131"/>
      <c r="M179" s="184"/>
      <c r="N179" s="185"/>
      <c r="O179" s="119">
        <f t="shared" ref="O179:O180" si="93">I179-J179-K179</f>
        <v>0</v>
      </c>
      <c r="P179" s="120">
        <f t="shared" si="91"/>
        <v>0</v>
      </c>
      <c r="Q179" s="325"/>
      <c r="R179" s="326"/>
    </row>
    <row r="180" spans="1:50" s="2" customFormat="1" ht="27.75" customHeight="1" x14ac:dyDescent="0.25">
      <c r="A180" s="175" t="s">
        <v>31</v>
      </c>
      <c r="B180" s="112" t="s">
        <v>9</v>
      </c>
      <c r="C180" s="112" t="s">
        <v>12</v>
      </c>
      <c r="D180" s="112" t="s">
        <v>14</v>
      </c>
      <c r="E180" s="112" t="s">
        <v>158</v>
      </c>
      <c r="F180" s="112" t="s">
        <v>63</v>
      </c>
      <c r="G180" s="112" t="s">
        <v>32</v>
      </c>
      <c r="H180" s="112"/>
      <c r="I180" s="116">
        <v>67044</v>
      </c>
      <c r="J180" s="117">
        <v>0</v>
      </c>
      <c r="K180" s="116">
        <f>I180-J180</f>
        <v>67044</v>
      </c>
      <c r="L180" s="131"/>
      <c r="M180" s="182"/>
      <c r="N180" s="183"/>
      <c r="O180" s="119">
        <f t="shared" si="93"/>
        <v>0</v>
      </c>
      <c r="P180" s="120">
        <f t="shared" si="91"/>
        <v>0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9.5" customHeight="1" x14ac:dyDescent="0.25">
      <c r="A181" s="327" t="s">
        <v>80</v>
      </c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9"/>
      <c r="Q181" s="330"/>
      <c r="R181" s="330"/>
    </row>
    <row r="182" spans="1:50" s="15" customFormat="1" ht="64.5" customHeight="1" x14ac:dyDescent="0.25">
      <c r="A182" s="202" t="s">
        <v>120</v>
      </c>
      <c r="B182" s="16" t="s">
        <v>81</v>
      </c>
      <c r="C182" s="16" t="s">
        <v>82</v>
      </c>
      <c r="D182" s="16" t="s">
        <v>82</v>
      </c>
      <c r="E182" s="16" t="s">
        <v>83</v>
      </c>
      <c r="F182" s="16" t="s">
        <v>81</v>
      </c>
      <c r="G182" s="16"/>
      <c r="H182" s="16"/>
      <c r="I182" s="17">
        <f>I183</f>
        <v>4268106.4000000004</v>
      </c>
      <c r="J182" s="17">
        <f>J183</f>
        <v>369504.75</v>
      </c>
      <c r="K182" s="17">
        <f>I182-J182</f>
        <v>3898601.6500000004</v>
      </c>
      <c r="L182" s="17">
        <f t="shared" ref="L182:N182" si="94">L183</f>
        <v>0</v>
      </c>
      <c r="M182" s="17">
        <f t="shared" si="94"/>
        <v>0</v>
      </c>
      <c r="N182" s="17">
        <f t="shared" si="94"/>
        <v>0</v>
      </c>
      <c r="O182" s="20">
        <f t="shared" ref="O182:O183" si="95">I182-J182-K182</f>
        <v>0</v>
      </c>
      <c r="P182" s="21">
        <f>J182/I182*100</f>
        <v>8.6573462648447563</v>
      </c>
      <c r="Q182" s="331"/>
      <c r="R182" s="331"/>
      <c r="S182" s="1"/>
      <c r="T182" s="1"/>
      <c r="U182" s="1"/>
      <c r="V182" s="1"/>
      <c r="W182" s="1"/>
      <c r="X182" s="1"/>
      <c r="Y182" s="1"/>
    </row>
    <row r="183" spans="1:50" s="15" customFormat="1" ht="18.75" customHeight="1" x14ac:dyDescent="0.25">
      <c r="A183" s="32" t="s">
        <v>113</v>
      </c>
      <c r="B183" s="22" t="s">
        <v>81</v>
      </c>
      <c r="C183" s="22" t="s">
        <v>82</v>
      </c>
      <c r="D183" s="22" t="s">
        <v>82</v>
      </c>
      <c r="E183" s="22" t="s">
        <v>83</v>
      </c>
      <c r="F183" s="22" t="s">
        <v>81</v>
      </c>
      <c r="G183" s="22" t="s">
        <v>114</v>
      </c>
      <c r="H183" s="22"/>
      <c r="I183" s="35">
        <v>4268106.4000000004</v>
      </c>
      <c r="J183" s="35">
        <v>369504.75</v>
      </c>
      <c r="K183" s="23">
        <f>I183-J183</f>
        <v>3898601.6500000004</v>
      </c>
      <c r="L183" s="38"/>
      <c r="M183" s="29"/>
      <c r="N183" s="1"/>
      <c r="O183" s="25">
        <f t="shared" si="95"/>
        <v>0</v>
      </c>
      <c r="P183" s="26">
        <f>J183/I183*100</f>
        <v>8.6573462648447563</v>
      </c>
      <c r="Q183" s="331"/>
      <c r="R183" s="331"/>
      <c r="S183" s="1"/>
      <c r="T183" s="1"/>
      <c r="U183" s="1"/>
      <c r="V183" s="1"/>
      <c r="W183" s="1"/>
      <c r="X183" s="1"/>
      <c r="Y183" s="1"/>
    </row>
    <row r="184" spans="1:50" ht="0.75" customHeight="1" x14ac:dyDescent="0.25">
      <c r="A184" s="70"/>
      <c r="B184" s="70"/>
      <c r="C184" s="70"/>
      <c r="D184" s="70"/>
      <c r="E184" s="70"/>
      <c r="F184" s="70"/>
      <c r="G184" s="70"/>
      <c r="H184" s="71"/>
      <c r="I184" s="126"/>
      <c r="J184" s="127"/>
      <c r="K184" s="72"/>
      <c r="L184" s="1"/>
      <c r="M184" s="1"/>
    </row>
    <row r="185" spans="1:50" ht="27.75" customHeight="1" x14ac:dyDescent="0.25">
      <c r="A185" s="77"/>
      <c r="B185" s="78"/>
      <c r="C185" s="78"/>
      <c r="D185" s="78"/>
      <c r="E185" s="78"/>
      <c r="F185" s="78"/>
      <c r="G185" s="1"/>
      <c r="H185" s="1"/>
      <c r="I185" s="1"/>
      <c r="J185" s="1"/>
      <c r="K185" s="1"/>
      <c r="L185" s="73"/>
      <c r="M185" s="74"/>
      <c r="N185" s="75"/>
      <c r="O185" s="75"/>
      <c r="P185" s="75"/>
    </row>
    <row r="186" spans="1:50" ht="40.5" customHeight="1" x14ac:dyDescent="0.25">
      <c r="A186" s="319" t="s">
        <v>168</v>
      </c>
      <c r="B186" s="319"/>
      <c r="C186" s="319"/>
      <c r="D186" s="79"/>
      <c r="E186" s="79"/>
      <c r="F186" s="79"/>
      <c r="G186" s="80" t="s">
        <v>169</v>
      </c>
      <c r="H186" s="1"/>
      <c r="I186" s="1"/>
      <c r="J186" s="1"/>
      <c r="K186" s="1"/>
      <c r="L186" s="73"/>
      <c r="M186" s="74"/>
      <c r="N186" s="75"/>
      <c r="O186" s="75"/>
      <c r="P186" s="75"/>
    </row>
    <row r="187" spans="1:50" x14ac:dyDescent="0.25">
      <c r="A187" s="81"/>
      <c r="B187" s="82"/>
      <c r="C187" s="82"/>
      <c r="D187" s="320" t="s">
        <v>92</v>
      </c>
      <c r="E187" s="320"/>
      <c r="F187" s="320"/>
      <c r="G187" s="1"/>
      <c r="H187" s="1"/>
      <c r="I187" s="1"/>
      <c r="J187" s="1"/>
      <c r="K187" s="1"/>
      <c r="L187" s="73"/>
      <c r="M187" s="74"/>
      <c r="N187" s="75"/>
      <c r="O187" s="75"/>
      <c r="P187" s="75"/>
    </row>
    <row r="188" spans="1:50" ht="18.75" x14ac:dyDescent="0.25">
      <c r="A188" s="83"/>
      <c r="B188" s="84"/>
      <c r="C188" s="84"/>
      <c r="D188" s="84"/>
      <c r="E188" s="84"/>
      <c r="F188" s="84"/>
      <c r="G188" s="1"/>
      <c r="H188" s="1"/>
      <c r="I188" s="1"/>
      <c r="J188" s="1"/>
      <c r="K188" s="1"/>
      <c r="L188" s="73"/>
      <c r="M188" s="74"/>
      <c r="N188" s="75"/>
      <c r="O188" s="75"/>
      <c r="P188" s="75"/>
    </row>
    <row r="189" spans="1:50" x14ac:dyDescent="0.25">
      <c r="A189" s="1"/>
      <c r="B189" s="1"/>
      <c r="C189" s="1"/>
      <c r="D189" s="1"/>
      <c r="E189" s="1"/>
      <c r="F189" s="1"/>
      <c r="L189" s="73"/>
      <c r="M189" s="74"/>
      <c r="N189" s="75"/>
      <c r="O189" s="75"/>
      <c r="P189" s="75"/>
    </row>
    <row r="190" spans="1:50" x14ac:dyDescent="0.25">
      <c r="A190" s="1"/>
      <c r="B190" s="1"/>
      <c r="C190" s="1"/>
      <c r="D190" s="1"/>
      <c r="E190" s="1"/>
      <c r="F190" s="1"/>
      <c r="L190" s="73"/>
      <c r="M190" s="74"/>
      <c r="N190" s="75"/>
      <c r="O190" s="75"/>
      <c r="P190" s="75"/>
    </row>
    <row r="191" spans="1:50" x14ac:dyDescent="0.25">
      <c r="A191" s="1"/>
      <c r="B191" s="1"/>
      <c r="C191" s="1"/>
      <c r="D191" s="1"/>
      <c r="E191" s="1"/>
      <c r="F191" s="1"/>
      <c r="L191" s="73"/>
      <c r="M191" s="74"/>
      <c r="N191" s="75"/>
      <c r="O191" s="75"/>
      <c r="P191" s="75"/>
    </row>
    <row r="192" spans="1:50" x14ac:dyDescent="0.25">
      <c r="A192" s="1"/>
      <c r="B192" s="1"/>
      <c r="C192" s="1"/>
      <c r="D192" s="1"/>
      <c r="E192" s="1"/>
      <c r="F192" s="1"/>
    </row>
    <row r="193" spans="1:50" x14ac:dyDescent="0.25">
      <c r="A193" s="1"/>
      <c r="B193" s="1"/>
      <c r="C193" s="1"/>
      <c r="D193" s="1"/>
      <c r="E193" s="1"/>
      <c r="F193" s="1"/>
      <c r="L193" s="1"/>
      <c r="M193" s="1"/>
    </row>
    <row r="194" spans="1:50" x14ac:dyDescent="0.25">
      <c r="A194" s="1"/>
      <c r="B194" s="1"/>
      <c r="C194" s="1"/>
      <c r="D194" s="1"/>
      <c r="E194" s="1"/>
      <c r="F194" s="1"/>
      <c r="L194" s="1"/>
      <c r="M194" s="1"/>
    </row>
    <row r="195" spans="1:50" x14ac:dyDescent="0.25">
      <c r="A195" s="1"/>
      <c r="B195" s="1"/>
      <c r="C195" s="1"/>
      <c r="D195" s="1"/>
      <c r="E195" s="1"/>
      <c r="F195" s="1"/>
      <c r="L195" s="1"/>
      <c r="M195" s="1"/>
    </row>
    <row r="196" spans="1:50" x14ac:dyDescent="0.25">
      <c r="A196" s="1"/>
      <c r="B196" s="1"/>
      <c r="C196" s="1"/>
      <c r="D196" s="1"/>
      <c r="E196" s="1"/>
      <c r="F196" s="1"/>
      <c r="L196" s="1"/>
      <c r="M196" s="1"/>
    </row>
    <row r="197" spans="1:50" x14ac:dyDescent="0.25">
      <c r="A197" s="1"/>
      <c r="B197" s="1"/>
      <c r="C197" s="1"/>
      <c r="D197" s="1"/>
      <c r="E197" s="1"/>
      <c r="F197" s="1"/>
    </row>
    <row r="198" spans="1:50" x14ac:dyDescent="0.25">
      <c r="A198" s="1"/>
      <c r="B198" s="1"/>
      <c r="C198" s="1"/>
      <c r="D198" s="1"/>
      <c r="E198" s="1"/>
      <c r="F198" s="1"/>
    </row>
    <row r="199" spans="1:50" x14ac:dyDescent="0.25">
      <c r="A199" s="1"/>
      <c r="B199" s="1"/>
      <c r="C199" s="1"/>
      <c r="D199" s="1"/>
      <c r="E199" s="1"/>
      <c r="F199" s="1"/>
    </row>
    <row r="200" spans="1:50" x14ac:dyDescent="0.25">
      <c r="A200" s="1"/>
      <c r="B200" s="1"/>
      <c r="C200" s="1"/>
      <c r="D200" s="1"/>
      <c r="E200" s="1"/>
      <c r="F200" s="1"/>
    </row>
    <row r="201" spans="1:50" x14ac:dyDescent="0.25">
      <c r="A201" s="1"/>
      <c r="B201" s="1"/>
      <c r="C201" s="1"/>
      <c r="D201" s="1"/>
      <c r="E201" s="1"/>
      <c r="F201" s="1"/>
    </row>
    <row r="202" spans="1:50" x14ac:dyDescent="0.25">
      <c r="A202" s="1"/>
      <c r="B202" s="1"/>
      <c r="C202" s="1"/>
      <c r="D202" s="1"/>
      <c r="E202" s="1"/>
      <c r="F202" s="1"/>
    </row>
    <row r="203" spans="1:50" x14ac:dyDescent="0.25">
      <c r="A203" s="1"/>
      <c r="B203" s="1"/>
      <c r="C203" s="1"/>
      <c r="D203" s="1"/>
      <c r="E203" s="1"/>
      <c r="F203" s="1"/>
    </row>
    <row r="204" spans="1:50" x14ac:dyDescent="0.25">
      <c r="A204" s="1"/>
      <c r="B204" s="1"/>
      <c r="C204" s="1"/>
      <c r="D204" s="1"/>
      <c r="E204" s="1"/>
      <c r="F204" s="1"/>
    </row>
    <row r="205" spans="1:50" x14ac:dyDescent="0.25">
      <c r="A205" s="1"/>
      <c r="B205" s="1"/>
      <c r="C205" s="1"/>
      <c r="D205" s="1"/>
      <c r="E205" s="1"/>
      <c r="F205" s="1"/>
    </row>
    <row r="206" spans="1:50" x14ac:dyDescent="0.25">
      <c r="A206" s="1"/>
      <c r="B206" s="1"/>
      <c r="C206" s="1"/>
      <c r="D206" s="1"/>
      <c r="E206" s="1"/>
      <c r="F206" s="1"/>
    </row>
    <row r="207" spans="1:50" x14ac:dyDescent="0.25">
      <c r="A207" s="1"/>
      <c r="B207" s="1"/>
      <c r="C207" s="1"/>
      <c r="D207" s="1"/>
      <c r="E207" s="1"/>
      <c r="F207" s="1"/>
    </row>
    <row r="208" spans="1:50" s="68" customFormat="1" x14ac:dyDescent="0.25">
      <c r="A208" s="1"/>
      <c r="B208" s="1"/>
      <c r="C208" s="1"/>
      <c r="D208" s="1"/>
      <c r="E208" s="1"/>
      <c r="F208" s="1"/>
      <c r="I208" s="128"/>
      <c r="J208" s="128"/>
      <c r="K208" s="76"/>
      <c r="L208" s="76"/>
      <c r="M208" s="2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68" customFormat="1" x14ac:dyDescent="0.25">
      <c r="A209" s="85"/>
      <c r="I209" s="128"/>
      <c r="J209" s="128"/>
      <c r="K209" s="76"/>
      <c r="L209" s="76"/>
      <c r="M209" s="2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68" customFormat="1" x14ac:dyDescent="0.25">
      <c r="A210" s="85"/>
      <c r="I210" s="128"/>
      <c r="J210" s="128"/>
      <c r="K210" s="76"/>
      <c r="L210" s="76"/>
      <c r="M210" s="2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68" customFormat="1" x14ac:dyDescent="0.25">
      <c r="A211" s="85"/>
      <c r="I211" s="128"/>
      <c r="J211" s="128"/>
      <c r="K211" s="76"/>
      <c r="L211" s="76"/>
      <c r="M211" s="2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68" customFormat="1" x14ac:dyDescent="0.25">
      <c r="A212" s="85"/>
      <c r="I212" s="128"/>
      <c r="J212" s="128"/>
      <c r="K212" s="76"/>
      <c r="L212" s="76"/>
      <c r="M212" s="2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68" customFormat="1" x14ac:dyDescent="0.25">
      <c r="A213" s="85"/>
      <c r="I213" s="128"/>
      <c r="J213" s="128"/>
      <c r="K213" s="76"/>
      <c r="L213" s="76"/>
      <c r="M213" s="2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68" customFormat="1" x14ac:dyDescent="0.25">
      <c r="A214" s="85"/>
      <c r="I214" s="128"/>
      <c r="J214" s="128"/>
      <c r="K214" s="76"/>
      <c r="L214" s="76"/>
      <c r="M214" s="2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68" customFormat="1" x14ac:dyDescent="0.25">
      <c r="A215" s="85"/>
      <c r="I215" s="128"/>
      <c r="J215" s="128"/>
      <c r="K215" s="76"/>
      <c r="L215" s="76"/>
      <c r="M215" s="2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68" customFormat="1" x14ac:dyDescent="0.25">
      <c r="A216" s="85"/>
      <c r="I216" s="128"/>
      <c r="J216" s="128"/>
      <c r="K216" s="76"/>
      <c r="L216" s="76"/>
      <c r="M216" s="2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</sheetData>
  <mergeCells count="173"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A69:P69"/>
    <mergeCell ref="Q69:R69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70:R70"/>
    <mergeCell ref="Q71:R71"/>
    <mergeCell ref="Q72:R72"/>
    <mergeCell ref="Q73:R73"/>
    <mergeCell ref="Q74:R74"/>
    <mergeCell ref="Q75:R75"/>
    <mergeCell ref="Q57:R57"/>
    <mergeCell ref="Q58:R58"/>
    <mergeCell ref="Q59:R59"/>
    <mergeCell ref="Q60:R60"/>
    <mergeCell ref="Q61:R68"/>
    <mergeCell ref="Q82:R82"/>
    <mergeCell ref="Q83:R83"/>
    <mergeCell ref="Q84:R84"/>
    <mergeCell ref="Q85:R85"/>
    <mergeCell ref="Q86:R86"/>
    <mergeCell ref="Q87:R87"/>
    <mergeCell ref="Q76:R76"/>
    <mergeCell ref="Q77:R77"/>
    <mergeCell ref="Q78:R78"/>
    <mergeCell ref="Q79:R79"/>
    <mergeCell ref="Q80:R80"/>
    <mergeCell ref="Q81:R81"/>
    <mergeCell ref="A104:P104"/>
    <mergeCell ref="Q104:R104"/>
    <mergeCell ref="Q94:R94"/>
    <mergeCell ref="Q95:R95"/>
    <mergeCell ref="Q96:R96"/>
    <mergeCell ref="Q97:R97"/>
    <mergeCell ref="Q98:R98"/>
    <mergeCell ref="Q99:R99"/>
    <mergeCell ref="Q88:R88"/>
    <mergeCell ref="Q89:R89"/>
    <mergeCell ref="Q90:R90"/>
    <mergeCell ref="Q91:R91"/>
    <mergeCell ref="Q92:R92"/>
    <mergeCell ref="Q93:R93"/>
    <mergeCell ref="Q105:R105"/>
    <mergeCell ref="Q106:R106"/>
    <mergeCell ref="Q107:R107"/>
    <mergeCell ref="Q108:R108"/>
    <mergeCell ref="Q109:R109"/>
    <mergeCell ref="Q110:R110"/>
    <mergeCell ref="Q100:R100"/>
    <mergeCell ref="Q101:R101"/>
    <mergeCell ref="Q102:R102"/>
    <mergeCell ref="Q103:R103"/>
    <mergeCell ref="Q117:R117"/>
    <mergeCell ref="Q118:R118"/>
    <mergeCell ref="Q119:R119"/>
    <mergeCell ref="Q120:R120"/>
    <mergeCell ref="Q121:R121"/>
    <mergeCell ref="Q122:R122"/>
    <mergeCell ref="Q111:R111"/>
    <mergeCell ref="Q112:R112"/>
    <mergeCell ref="Q113:R113"/>
    <mergeCell ref="Q114:R114"/>
    <mergeCell ref="Q115:R115"/>
    <mergeCell ref="Q116:R116"/>
    <mergeCell ref="Q134:R135"/>
    <mergeCell ref="Q137:R138"/>
    <mergeCell ref="Q139:R139"/>
    <mergeCell ref="Q140:R140"/>
    <mergeCell ref="Q141:R143"/>
    <mergeCell ref="Q144:R145"/>
    <mergeCell ref="Q123:R123"/>
    <mergeCell ref="Q125:R125"/>
    <mergeCell ref="Q126:R126"/>
    <mergeCell ref="Q127:R129"/>
    <mergeCell ref="Q130:R131"/>
    <mergeCell ref="Q132:R133"/>
    <mergeCell ref="Q152:R152"/>
    <mergeCell ref="Q153:R153"/>
    <mergeCell ref="Q154:R154"/>
    <mergeCell ref="Q155:R155"/>
    <mergeCell ref="Q156:R156"/>
    <mergeCell ref="Q157:R157"/>
    <mergeCell ref="Q146:R147"/>
    <mergeCell ref="A148:P148"/>
    <mergeCell ref="Q148:R148"/>
    <mergeCell ref="Q149:R149"/>
    <mergeCell ref="Q150:R150"/>
    <mergeCell ref="Q151:R151"/>
    <mergeCell ref="Q164:R164"/>
    <mergeCell ref="Q165:R165"/>
    <mergeCell ref="Q166:R166"/>
    <mergeCell ref="Q167:R167"/>
    <mergeCell ref="Q168:R168"/>
    <mergeCell ref="Q169:R169"/>
    <mergeCell ref="Q158:R158"/>
    <mergeCell ref="Q159:R159"/>
    <mergeCell ref="Q160:R160"/>
    <mergeCell ref="Q161:R161"/>
    <mergeCell ref="Q162:R162"/>
    <mergeCell ref="Q163:R163"/>
    <mergeCell ref="Q182:R182"/>
    <mergeCell ref="Q183:R183"/>
    <mergeCell ref="A186:C186"/>
    <mergeCell ref="D187:F187"/>
    <mergeCell ref="Q170:R170"/>
    <mergeCell ref="Q171:R171"/>
    <mergeCell ref="Q172:R174"/>
    <mergeCell ref="Q175:R177"/>
    <mergeCell ref="Q178:R180"/>
    <mergeCell ref="A181:P181"/>
    <mergeCell ref="Q181:R181"/>
  </mergeCells>
  <printOptions horizontalCentered="1"/>
  <pageMargins left="3.937007874015748E-2" right="3.937007874015748E-2" top="0.15748031496062992" bottom="0" header="0.11811023622047245" footer="0"/>
  <pageSetup paperSize="9" scale="55" fitToHeight="7" orientation="landscape" r:id="rId1"/>
  <rowBreaks count="6" manualBreakCount="6">
    <brk id="31" max="17" man="1"/>
    <brk id="55" max="17" man="1"/>
    <brk id="82" max="17" man="1"/>
    <brk id="103" max="17" man="1"/>
    <brk id="119" max="17" man="1"/>
    <brk id="14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16"/>
  <sheetViews>
    <sheetView showWhiteSpace="0" view="pageBreakPreview" zoomScale="55" zoomScaleNormal="75" zoomScaleSheetLayoutView="55" workbookViewId="0">
      <selection activeCell="E199" sqref="E199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173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174</v>
      </c>
      <c r="K3" s="353" t="s">
        <v>6</v>
      </c>
      <c r="L3" s="169"/>
      <c r="M3" s="170"/>
      <c r="N3" s="169"/>
      <c r="O3" s="353" t="s">
        <v>7</v>
      </c>
      <c r="P3" s="355" t="s">
        <v>175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 t="shared" ref="I6:N6" si="0">I8+I70+I105+I149+I182</f>
        <v>123366795.69999999</v>
      </c>
      <c r="J6" s="160">
        <f t="shared" si="0"/>
        <v>27043232.360000003</v>
      </c>
      <c r="K6" s="160">
        <f t="shared" si="0"/>
        <v>96323563.340000004</v>
      </c>
      <c r="L6" s="160" t="e">
        <f t="shared" si="0"/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0</v>
      </c>
      <c r="P6" s="163">
        <f>J6/I6*100</f>
        <v>21.920997628699865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I9+I61+I67</f>
        <v>24542970.259999998</v>
      </c>
      <c r="J8" s="9">
        <f>J9+J61+J67</f>
        <v>4821409.6100000003</v>
      </c>
      <c r="K8" s="9">
        <f>K9+K61+K67</f>
        <v>19721560.650000002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 t="shared" ref="O8:O12" si="1">I8-J8-K8</f>
        <v>0</v>
      </c>
      <c r="P8" s="12">
        <f>J8/I8*100</f>
        <v>19.64476817159294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</f>
        <v>24314157.369999997</v>
      </c>
      <c r="J9" s="157">
        <f>J10+J41+J46+J48+J50+J53+J59+J56</f>
        <v>4821409.6100000003</v>
      </c>
      <c r="K9" s="157">
        <f>K10+K41+K46+K48+K50+K53+K59+K56</f>
        <v>19492747.760000002</v>
      </c>
      <c r="L9" s="14" t="e">
        <f>L10+L41+L46+L48+L50+L53+L59+L56+L61+L67+#REF!</f>
        <v>#REF!</v>
      </c>
      <c r="M9" s="14" t="e">
        <f>M10+M41+M46+M48+M50+M53+M59+M56+M61+M67+#REF!</f>
        <v>#REF!</v>
      </c>
      <c r="N9" s="14" t="e">
        <f>N10+N41+N46+N48+N50+N53+N59+N56+N61+N67+#REF!</f>
        <v>#REF!</v>
      </c>
      <c r="O9" s="95">
        <f>I9-J9-K9</f>
        <v>0</v>
      </c>
      <c r="P9" s="96">
        <f t="shared" ref="P9:P60" si="2">J9/I9*100</f>
        <v>19.829638908025217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 t="shared" ref="I10:N12" si="3">I11</f>
        <v>10916429.089999998</v>
      </c>
      <c r="J10" s="17">
        <f t="shared" si="3"/>
        <v>2053272.23</v>
      </c>
      <c r="K10" s="17">
        <f t="shared" si="3"/>
        <v>8863156.8599999994</v>
      </c>
      <c r="L10" s="17" t="e">
        <f t="shared" si="3"/>
        <v>#REF!</v>
      </c>
      <c r="M10" s="17">
        <f t="shared" si="3"/>
        <v>0</v>
      </c>
      <c r="N10" s="17">
        <f t="shared" si="3"/>
        <v>0</v>
      </c>
      <c r="O10" s="20">
        <f t="shared" si="1"/>
        <v>0</v>
      </c>
      <c r="P10" s="21">
        <f t="shared" si="2"/>
        <v>18.809009915897327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10916429.089999998</v>
      </c>
      <c r="J11" s="28">
        <f t="shared" si="3"/>
        <v>2053272.23</v>
      </c>
      <c r="K11" s="33">
        <f t="shared" si="3"/>
        <v>8863156.8599999994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si="1"/>
        <v>0</v>
      </c>
      <c r="P11" s="31">
        <f t="shared" si="2"/>
        <v>18.809009915897327</v>
      </c>
      <c r="Q11" s="352"/>
      <c r="R11" s="352"/>
    </row>
    <row r="12" spans="1:50" ht="23.25" customHeight="1" x14ac:dyDescent="0.2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 t="shared" si="3"/>
        <v>10916429.089999998</v>
      </c>
      <c r="J12" s="35">
        <f>J13</f>
        <v>2053272.23</v>
      </c>
      <c r="K12" s="35">
        <f>K13</f>
        <v>8863156.8599999994</v>
      </c>
      <c r="L12" s="87" t="e">
        <f>L13</f>
        <v>#REF!</v>
      </c>
      <c r="M12" s="176"/>
      <c r="N12" s="177"/>
      <c r="O12" s="88">
        <f t="shared" si="1"/>
        <v>0</v>
      </c>
      <c r="P12" s="154">
        <f t="shared" si="2"/>
        <v>18.809009915897327</v>
      </c>
      <c r="Q12" s="352"/>
      <c r="R12" s="352"/>
    </row>
    <row r="13" spans="1:50" ht="56.25" x14ac:dyDescent="0.25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10916429.089999998</v>
      </c>
      <c r="J13" s="35">
        <f>J14+J32</f>
        <v>2053272.23</v>
      </c>
      <c r="K13" s="35">
        <f>K14+K32+K28</f>
        <v>8863156.8599999994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154">
        <f t="shared" si="2"/>
        <v>18.809009915897327</v>
      </c>
      <c r="Q13" s="352"/>
      <c r="R13" s="352"/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 t="shared" ref="I14:P14" si="4">I15+I22+I27+I29+I30+I31+I21+I18+I28</f>
        <v>9416230.3199999984</v>
      </c>
      <c r="J14" s="28">
        <f t="shared" si="4"/>
        <v>1749396.3399999999</v>
      </c>
      <c r="K14" s="28">
        <f t="shared" si="4"/>
        <v>7666833.9799999995</v>
      </c>
      <c r="L14" s="28" t="e">
        <f t="shared" si="4"/>
        <v>#REF!</v>
      </c>
      <c r="M14" s="28">
        <f t="shared" si="4"/>
        <v>3108713.5799999996</v>
      </c>
      <c r="N14" s="28">
        <f t="shared" si="4"/>
        <v>-4509614.9899999993</v>
      </c>
      <c r="O14" s="28">
        <f t="shared" si="4"/>
        <v>0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573907.64</v>
      </c>
      <c r="K15" s="28">
        <f>K16+K17</f>
        <v>2349464.8199999998</v>
      </c>
      <c r="L15" s="28">
        <f t="shared" ref="L15:N15" si="5">L16+L17+L18</f>
        <v>-1356178.9499999997</v>
      </c>
      <c r="M15" s="28">
        <f t="shared" si="5"/>
        <v>3153436.0399999996</v>
      </c>
      <c r="N15" s="28">
        <f t="shared" si="5"/>
        <v>-4509614.9899999993</v>
      </c>
      <c r="O15" s="28">
        <f>O16+O17</f>
        <v>0</v>
      </c>
      <c r="P15" s="155">
        <f>J15/I15*100</f>
        <v>19.631697563436717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178">
        <v>2238335.23</v>
      </c>
      <c r="J16" s="100">
        <v>441078.14</v>
      </c>
      <c r="K16" s="100">
        <f>I16-J16</f>
        <v>1797257.0899999999</v>
      </c>
      <c r="L16" s="100">
        <f t="shared" ref="L16:N16" si="6">J16-K16</f>
        <v>-1356178.9499999997</v>
      </c>
      <c r="M16" s="100">
        <f t="shared" si="6"/>
        <v>3153436.0399999996</v>
      </c>
      <c r="N16" s="100">
        <f t="shared" si="6"/>
        <v>-4509614.9899999993</v>
      </c>
      <c r="O16" s="153">
        <f>I16-J16-K16</f>
        <v>0</v>
      </c>
      <c r="P16" s="154">
        <f t="shared" si="2"/>
        <v>19.705633637370752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35">
        <v>685037.23</v>
      </c>
      <c r="J17" s="35">
        <v>132829.5</v>
      </c>
      <c r="K17" s="100">
        <f>I17-J17</f>
        <v>552207.73</v>
      </c>
      <c r="L17" s="165"/>
      <c r="M17" s="176"/>
      <c r="N17" s="177"/>
      <c r="O17" s="153">
        <f t="shared" ref="O17:O21" si="7">I17-J17-K17</f>
        <v>0</v>
      </c>
      <c r="P17" s="154">
        <f t="shared" si="2"/>
        <v>19.390114023437821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28">
        <f>I19+I20</f>
        <v>25000</v>
      </c>
      <c r="J18" s="28">
        <f t="shared" ref="J18:O18" si="8">J19+J20</f>
        <v>18250</v>
      </c>
      <c r="K18" s="28">
        <f t="shared" si="8"/>
        <v>6750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2"/>
        <v>73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35">
        <v>0</v>
      </c>
      <c r="J19" s="35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2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35">
        <v>25000</v>
      </c>
      <c r="J20" s="35">
        <v>18250</v>
      </c>
      <c r="K20" s="35">
        <f t="shared" si="9"/>
        <v>6750</v>
      </c>
      <c r="L20" s="28"/>
      <c r="M20" s="28"/>
      <c r="N20" s="28"/>
      <c r="O20" s="35">
        <f t="shared" si="7"/>
        <v>0</v>
      </c>
      <c r="P20" s="154">
        <f t="shared" si="2"/>
        <v>73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28">
        <v>30000</v>
      </c>
      <c r="J21" s="28">
        <v>6606.75</v>
      </c>
      <c r="K21" s="28">
        <f t="shared" si="9"/>
        <v>23393.25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2"/>
        <v>22.022500000000001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28">
        <f>I23+I25+I26+I24</f>
        <v>5294109.8599999994</v>
      </c>
      <c r="J22" s="28">
        <f t="shared" ref="J22:P22" si="10">J23+J25+J26+J24</f>
        <v>881698.40999999992</v>
      </c>
      <c r="K22" s="28">
        <f t="shared" si="10"/>
        <v>4412411.45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53.307623629738416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35">
        <v>155350.32</v>
      </c>
      <c r="J23" s="35">
        <v>28529.14</v>
      </c>
      <c r="K23" s="35">
        <f>I23-J23</f>
        <v>126821.18000000001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2"/>
        <v>18.364390881203203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35">
        <v>100000</v>
      </c>
      <c r="J24" s="35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2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35">
        <v>2218116.29</v>
      </c>
      <c r="J25" s="35">
        <v>487612.79</v>
      </c>
      <c r="K25" s="35">
        <f>I25-J25</f>
        <v>1730503.5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2"/>
        <v>21.98319322563561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35">
        <v>2820643.25</v>
      </c>
      <c r="J26" s="35">
        <v>365556.47999999998</v>
      </c>
      <c r="K26" s="23">
        <f t="shared" si="11"/>
        <v>2455086.77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2"/>
        <v>12.960039522899608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35">
        <v>1143470.46</v>
      </c>
      <c r="J27" s="35">
        <v>268656</v>
      </c>
      <c r="K27" s="23">
        <f t="shared" si="11"/>
        <v>874814.46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2"/>
        <v>23.494791461425248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35">
        <v>0</v>
      </c>
      <c r="J28" s="35">
        <v>0</v>
      </c>
      <c r="K28" s="23">
        <f t="shared" si="11"/>
        <v>0</v>
      </c>
      <c r="L28" s="24">
        <f t="shared" si="13"/>
        <v>30000</v>
      </c>
      <c r="M28" s="182"/>
      <c r="N28" s="183"/>
      <c r="O28" s="25">
        <f t="shared" si="12"/>
        <v>0</v>
      </c>
      <c r="P28" s="26" t="e">
        <f t="shared" si="2"/>
        <v>#DIV/0!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36">
        <f>5000-5000</f>
        <v>0</v>
      </c>
      <c r="J29" s="168">
        <v>0</v>
      </c>
      <c r="K29" s="23">
        <f t="shared" si="11"/>
        <v>0</v>
      </c>
      <c r="L29" s="38">
        <v>15000</v>
      </c>
      <c r="M29" s="182">
        <f>J29-L29</f>
        <v>-15000</v>
      </c>
      <c r="N29" s="183"/>
      <c r="O29" s="25">
        <f t="shared" si="12"/>
        <v>0</v>
      </c>
      <c r="P29" s="26" t="e">
        <f t="shared" si="2"/>
        <v>#DIV/0!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35">
        <v>277.54000000000002</v>
      </c>
      <c r="J30" s="168">
        <v>277.54000000000002</v>
      </c>
      <c r="K30" s="23">
        <f t="shared" si="11"/>
        <v>0</v>
      </c>
      <c r="L30" s="38">
        <v>30000</v>
      </c>
      <c r="M30" s="182">
        <f>J30-L30</f>
        <v>-29722.46</v>
      </c>
      <c r="N30" s="183"/>
      <c r="O30" s="25">
        <f t="shared" si="12"/>
        <v>0</v>
      </c>
      <c r="P30" s="26">
        <f t="shared" si="2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35">
        <v>0</v>
      </c>
      <c r="J31" s="168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2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28">
        <f>I34+I33+I37+I38+I39+I40+I35+I36</f>
        <v>1500198.77</v>
      </c>
      <c r="J32" s="28">
        <f>J34+J33+J37+J38+J39+J40+J35+J36</f>
        <v>303875.89</v>
      </c>
      <c r="K32" s="33">
        <f>K34+K33+K37+K38+K39+K40+K35+K36</f>
        <v>1196322.8799999999</v>
      </c>
      <c r="L32" s="33" t="e">
        <f t="shared" ref="L32:O32" si="14">L34+L33+L37+L38+L39+L40</f>
        <v>#REF!</v>
      </c>
      <c r="M32" s="33">
        <f t="shared" si="14"/>
        <v>-4566750</v>
      </c>
      <c r="N32" s="33">
        <f t="shared" si="14"/>
        <v>0</v>
      </c>
      <c r="O32" s="33">
        <f t="shared" si="14"/>
        <v>0</v>
      </c>
      <c r="P32" s="31">
        <f t="shared" si="2"/>
        <v>20.255708515212291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35">
        <v>492980.41</v>
      </c>
      <c r="J33" s="35">
        <v>99884</v>
      </c>
      <c r="K33" s="23">
        <f>I33-J33</f>
        <v>393096.41</v>
      </c>
      <c r="L33" s="39" t="e">
        <f>#REF!+#REF!+L74+#REF!+#REF!</f>
        <v>#REF!</v>
      </c>
      <c r="M33" s="182"/>
      <c r="N33" s="183"/>
      <c r="O33" s="25">
        <f t="shared" si="12"/>
        <v>0</v>
      </c>
      <c r="P33" s="26">
        <f t="shared" si="2"/>
        <v>20.261251354795213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35">
        <v>40000</v>
      </c>
      <c r="J34" s="35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-2283375</v>
      </c>
      <c r="N34" s="23">
        <f t="shared" si="16"/>
        <v>0</v>
      </c>
      <c r="O34" s="25">
        <f t="shared" si="12"/>
        <v>0</v>
      </c>
      <c r="P34" s="26">
        <f t="shared" si="2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35">
        <v>0</v>
      </c>
      <c r="J35" s="100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2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35">
        <v>0</v>
      </c>
      <c r="J36" s="100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2"/>
        <v>#DIV/0!</v>
      </c>
      <c r="Q36" s="205"/>
      <c r="R36" s="206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35">
        <v>150000</v>
      </c>
      <c r="J37" s="100">
        <v>39557</v>
      </c>
      <c r="K37" s="23">
        <f t="shared" si="15"/>
        <v>110443</v>
      </c>
      <c r="L37" s="38">
        <v>1178466</v>
      </c>
      <c r="M37" s="182">
        <f>J37-L37</f>
        <v>-1138909</v>
      </c>
      <c r="N37" s="183"/>
      <c r="O37" s="25">
        <f t="shared" si="12"/>
        <v>0</v>
      </c>
      <c r="P37" s="26">
        <f t="shared" si="2"/>
        <v>26.371333333333336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35">
        <v>90000</v>
      </c>
      <c r="J38" s="100">
        <v>34000</v>
      </c>
      <c r="K38" s="23">
        <f t="shared" si="15"/>
        <v>56000</v>
      </c>
      <c r="L38" s="38">
        <v>1178466</v>
      </c>
      <c r="M38" s="182">
        <f>J38-L38</f>
        <v>-1144466</v>
      </c>
      <c r="N38" s="183"/>
      <c r="O38" s="25">
        <f t="shared" si="12"/>
        <v>0</v>
      </c>
      <c r="P38" s="26">
        <f t="shared" si="2"/>
        <v>37.777777777777779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35">
        <v>687218.36</v>
      </c>
      <c r="J39" s="100">
        <v>130434.89</v>
      </c>
      <c r="K39" s="23">
        <f t="shared" si="15"/>
        <v>556783.47</v>
      </c>
      <c r="L39" s="38"/>
      <c r="M39" s="182"/>
      <c r="N39" s="183"/>
      <c r="O39" s="25">
        <f t="shared" si="12"/>
        <v>0</v>
      </c>
      <c r="P39" s="26">
        <f t="shared" si="2"/>
        <v>18.980122999042109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36">
        <v>40000</v>
      </c>
      <c r="J40" s="100">
        <v>0</v>
      </c>
      <c r="K40" s="23">
        <f>I40-J40</f>
        <v>40000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0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33430.620000000003</v>
      </c>
      <c r="K41" s="17">
        <f>K42+K44+K45+K43</f>
        <v>568025.22</v>
      </c>
      <c r="L41" s="42"/>
      <c r="M41" s="186"/>
      <c r="N41" s="187"/>
      <c r="O41" s="20">
        <f>I41-K41-J41</f>
        <v>0</v>
      </c>
      <c r="P41" s="21">
        <f>J41/I41*100</f>
        <v>5.5582833812038475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35">
        <v>469250.7</v>
      </c>
      <c r="J42" s="35">
        <v>25157.93</v>
      </c>
      <c r="K42" s="35">
        <f>I42-J42</f>
        <v>444092.77</v>
      </c>
      <c r="L42" s="45"/>
      <c r="M42" s="188"/>
      <c r="N42" s="189"/>
      <c r="O42" s="25">
        <f>I42-K42-J42</f>
        <v>0</v>
      </c>
      <c r="P42" s="26">
        <f t="shared" si="2"/>
        <v>5.3612983422294302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35">
        <v>75871.14</v>
      </c>
      <c r="J43" s="100">
        <v>7597.69</v>
      </c>
      <c r="K43" s="35">
        <f>I43-J43</f>
        <v>68273.45</v>
      </c>
      <c r="L43" s="45"/>
      <c r="M43" s="188"/>
      <c r="N43" s="189"/>
      <c r="O43" s="25"/>
      <c r="P43" s="26">
        <f t="shared" si="2"/>
        <v>10.013939424134129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35">
        <v>51834</v>
      </c>
      <c r="J44" s="100">
        <v>0</v>
      </c>
      <c r="K44" s="35">
        <f t="shared" ref="K44:K45" si="17">I44-J44</f>
        <v>51834</v>
      </c>
      <c r="L44" s="45"/>
      <c r="M44" s="188"/>
      <c r="N44" s="189"/>
      <c r="O44" s="25">
        <f>I44-K44-J44</f>
        <v>0</v>
      </c>
      <c r="P44" s="26">
        <f t="shared" si="2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35">
        <v>4500</v>
      </c>
      <c r="J45" s="35">
        <v>675</v>
      </c>
      <c r="K45" s="35">
        <f t="shared" si="17"/>
        <v>3825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2"/>
        <v>15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0</v>
      </c>
      <c r="K46" s="17">
        <f>K47</f>
        <v>1250000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2"/>
        <v>0</v>
      </c>
      <c r="Q46" s="336"/>
      <c r="R46" s="33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35">
        <v>1250000</v>
      </c>
      <c r="J47" s="35">
        <v>0</v>
      </c>
      <c r="K47" s="23">
        <f>I47-J47</f>
        <v>1250000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2"/>
        <v>0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2715197.94</v>
      </c>
      <c r="K48" s="17">
        <f t="shared" si="21"/>
        <v>8729354.8600000013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23.724805918148238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35">
        <v>11444552.800000001</v>
      </c>
      <c r="J49" s="100">
        <v>2715197.94</v>
      </c>
      <c r="K49" s="36">
        <f>I49-J49</f>
        <v>8729354.8600000013</v>
      </c>
      <c r="L49" s="37"/>
      <c r="M49" s="182"/>
      <c r="N49" s="183"/>
      <c r="O49" s="25">
        <f>I49-J49-K49</f>
        <v>0</v>
      </c>
      <c r="P49" s="26">
        <f>J49/I49*100</f>
        <v>23.724805918148238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2771.5699999999997</v>
      </c>
      <c r="K50" s="17">
        <f t="shared" si="23"/>
        <v>10597.45</v>
      </c>
      <c r="L50" s="42"/>
      <c r="M50" s="186"/>
      <c r="N50" s="187"/>
      <c r="O50" s="20">
        <f>I50-J50-K50</f>
        <v>0</v>
      </c>
      <c r="P50" s="21">
        <f t="shared" si="2"/>
        <v>20.731287708448335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35">
        <v>10268.07</v>
      </c>
      <c r="J51" s="100">
        <v>2128.6999999999998</v>
      </c>
      <c r="K51" s="35">
        <f>I51-J51</f>
        <v>8139.37</v>
      </c>
      <c r="L51" s="93"/>
      <c r="M51" s="188"/>
      <c r="N51" s="189"/>
      <c r="O51" s="25">
        <f t="shared" ref="O51:O52" si="24">I51-J51-K51</f>
        <v>0</v>
      </c>
      <c r="P51" s="26">
        <f t="shared" si="2"/>
        <v>20.731257188546628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35">
        <v>3100.95</v>
      </c>
      <c r="J52" s="100">
        <v>642.87</v>
      </c>
      <c r="K52" s="35">
        <f>I52-J52</f>
        <v>2458.08</v>
      </c>
      <c r="L52" s="93"/>
      <c r="M52" s="188"/>
      <c r="N52" s="189"/>
      <c r="O52" s="25">
        <f t="shared" si="24"/>
        <v>0</v>
      </c>
      <c r="P52" s="26">
        <f t="shared" si="2"/>
        <v>20.731388767958208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16737.25</v>
      </c>
      <c r="K53" s="17">
        <f t="shared" si="25"/>
        <v>71613.37</v>
      </c>
      <c r="L53" s="42"/>
      <c r="M53" s="186"/>
      <c r="N53" s="187"/>
      <c r="O53" s="20">
        <f>I53-J53-K53</f>
        <v>0</v>
      </c>
      <c r="P53" s="21">
        <f t="shared" si="2"/>
        <v>18.944122859579256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35">
        <v>67857.62</v>
      </c>
      <c r="J54" s="100">
        <v>12855.03</v>
      </c>
      <c r="K54" s="35">
        <f>I54-J54</f>
        <v>55002.59</v>
      </c>
      <c r="L54" s="93"/>
      <c r="M54" s="188"/>
      <c r="N54" s="189"/>
      <c r="O54" s="25">
        <f t="shared" ref="O54:O55" si="26">I54-J54-K54</f>
        <v>0</v>
      </c>
      <c r="P54" s="26">
        <f t="shared" si="2"/>
        <v>18.944121529755982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35">
        <v>20493</v>
      </c>
      <c r="J55" s="100">
        <v>3882.22</v>
      </c>
      <c r="K55" s="35">
        <f>I55-J55</f>
        <v>16610.78</v>
      </c>
      <c r="L55" s="93"/>
      <c r="M55" s="188"/>
      <c r="N55" s="189"/>
      <c r="O55" s="25">
        <f t="shared" si="26"/>
        <v>0</v>
      </c>
      <c r="P55" s="26">
        <f t="shared" si="2"/>
        <v>18.944127262967843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2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2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2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2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2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I62+I63+I64+I65+I66</f>
        <v>208651</v>
      </c>
      <c r="J61" s="17">
        <f t="shared" ref="J61:K61" si="30">J62+J63+J64+J65+J66</f>
        <v>0</v>
      </c>
      <c r="K61" s="17">
        <f t="shared" si="30"/>
        <v>208651</v>
      </c>
      <c r="L61" s="42"/>
      <c r="M61" s="186"/>
      <c r="N61" s="187"/>
      <c r="O61" s="20">
        <f>I61-J61-K61</f>
        <v>0</v>
      </c>
      <c r="P61" s="21">
        <f>J61/I61*100</f>
        <v>0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2" customFormat="1" ht="18.75" x14ac:dyDescent="0.25">
      <c r="A62" s="191" t="s">
        <v>43</v>
      </c>
      <c r="B62" s="22" t="s">
        <v>9</v>
      </c>
      <c r="C62" s="22" t="s">
        <v>12</v>
      </c>
      <c r="D62" s="22" t="s">
        <v>12</v>
      </c>
      <c r="E62" s="22" t="s">
        <v>134</v>
      </c>
      <c r="F62" s="22" t="s">
        <v>22</v>
      </c>
      <c r="G62" s="22" t="s">
        <v>44</v>
      </c>
      <c r="H62" s="22"/>
      <c r="I62" s="35">
        <v>190000</v>
      </c>
      <c r="J62" s="100">
        <v>0</v>
      </c>
      <c r="K62" s="34">
        <f>I62-J62</f>
        <v>190000</v>
      </c>
      <c r="L62" s="34" t="e">
        <f>#REF!</f>
        <v>#REF!</v>
      </c>
      <c r="M62" s="34" t="e">
        <f>#REF!</f>
        <v>#REF!</v>
      </c>
      <c r="N62" s="34" t="e">
        <f>#REF!</f>
        <v>#REF!</v>
      </c>
      <c r="O62" s="25">
        <f t="shared" ref="O62:O64" si="31">I62-J62-K62</f>
        <v>0</v>
      </c>
      <c r="P62" s="26">
        <f t="shared" ref="P62:P66" si="32">J62/I62*100</f>
        <v>0</v>
      </c>
      <c r="Q62" s="325"/>
      <c r="R62" s="326"/>
      <c r="S62" s="1"/>
      <c r="T62" s="15"/>
      <c r="U62" s="15"/>
      <c r="V62" s="15"/>
      <c r="W62" s="15"/>
      <c r="X62" s="15"/>
      <c r="Y62" s="15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2" customFormat="1" ht="37.5" x14ac:dyDescent="0.25">
      <c r="A63" s="175" t="s">
        <v>106</v>
      </c>
      <c r="B63" s="22" t="s">
        <v>9</v>
      </c>
      <c r="C63" s="22" t="s">
        <v>12</v>
      </c>
      <c r="D63" s="22" t="s">
        <v>14</v>
      </c>
      <c r="E63" s="22" t="s">
        <v>134</v>
      </c>
      <c r="F63" s="22" t="s">
        <v>22</v>
      </c>
      <c r="G63" s="22" t="s">
        <v>101</v>
      </c>
      <c r="H63" s="22"/>
      <c r="I63" s="35">
        <v>5000</v>
      </c>
      <c r="J63" s="35">
        <v>0</v>
      </c>
      <c r="K63" s="34">
        <f t="shared" ref="K63:K66" si="33">I63-J63</f>
        <v>5000</v>
      </c>
      <c r="L63" s="38">
        <v>107900</v>
      </c>
      <c r="M63" s="182"/>
      <c r="N63" s="183"/>
      <c r="O63" s="25">
        <f t="shared" si="31"/>
        <v>0</v>
      </c>
      <c r="P63" s="26">
        <f t="shared" si="32"/>
        <v>0</v>
      </c>
      <c r="Q63" s="325"/>
      <c r="R63" s="32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8.75" x14ac:dyDescent="0.25">
      <c r="A64" s="99" t="s">
        <v>113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114</v>
      </c>
      <c r="H64" s="22"/>
      <c r="I64" s="35">
        <v>0</v>
      </c>
      <c r="J64" s="100">
        <v>0</v>
      </c>
      <c r="K64" s="34">
        <f t="shared" si="33"/>
        <v>0</v>
      </c>
      <c r="L64" s="45"/>
      <c r="M64" s="188"/>
      <c r="N64" s="189"/>
      <c r="O64" s="25">
        <f t="shared" si="31"/>
        <v>0</v>
      </c>
      <c r="P64" s="26" t="e">
        <f t="shared" si="32"/>
        <v>#DIV/0!</v>
      </c>
      <c r="Q64" s="325"/>
      <c r="R64" s="326"/>
    </row>
    <row r="65" spans="1:50" s="15" customFormat="1" ht="37.5" x14ac:dyDescent="0.25">
      <c r="A65" s="175" t="s">
        <v>109</v>
      </c>
      <c r="B65" s="22" t="s">
        <v>9</v>
      </c>
      <c r="C65" s="22" t="s">
        <v>12</v>
      </c>
      <c r="D65" s="22" t="s">
        <v>12</v>
      </c>
      <c r="E65" s="22" t="s">
        <v>134</v>
      </c>
      <c r="F65" s="22" t="s">
        <v>22</v>
      </c>
      <c r="G65" s="22" t="s">
        <v>104</v>
      </c>
      <c r="H65" s="22"/>
      <c r="I65" s="35">
        <v>13651</v>
      </c>
      <c r="J65" s="100">
        <v>0</v>
      </c>
      <c r="K65" s="34">
        <f t="shared" si="33"/>
        <v>13651</v>
      </c>
      <c r="L65" s="38">
        <v>1178466</v>
      </c>
      <c r="M65" s="182">
        <f>J65-L65</f>
        <v>-1178466</v>
      </c>
      <c r="N65" s="183"/>
      <c r="O65" s="25">
        <f>I65-J65-K65</f>
        <v>0</v>
      </c>
      <c r="P65" s="26">
        <v>0</v>
      </c>
      <c r="Q65" s="325"/>
      <c r="R65" s="326"/>
    </row>
    <row r="66" spans="1:50" ht="37.5" x14ac:dyDescent="0.25">
      <c r="A66" s="175" t="s">
        <v>110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105</v>
      </c>
      <c r="H66" s="22"/>
      <c r="I66" s="35">
        <v>0</v>
      </c>
      <c r="J66" s="100">
        <v>0</v>
      </c>
      <c r="K66" s="34">
        <f t="shared" si="33"/>
        <v>0</v>
      </c>
      <c r="L66" s="45" t="e">
        <f>L101</f>
        <v>#REF!</v>
      </c>
      <c r="M66" s="192"/>
      <c r="N66" s="193"/>
      <c r="O66" s="25">
        <f>I66-J66-K66</f>
        <v>0</v>
      </c>
      <c r="P66" s="26" t="e">
        <f t="shared" si="32"/>
        <v>#DIV/0!</v>
      </c>
      <c r="Q66" s="325"/>
      <c r="R66" s="326"/>
    </row>
    <row r="67" spans="1:50" ht="121.5" customHeight="1" x14ac:dyDescent="0.25">
      <c r="A67" s="190" t="s">
        <v>64</v>
      </c>
      <c r="B67" s="41" t="s">
        <v>9</v>
      </c>
      <c r="C67" s="41" t="s">
        <v>12</v>
      </c>
      <c r="D67" s="41" t="s">
        <v>12</v>
      </c>
      <c r="E67" s="41" t="s">
        <v>65</v>
      </c>
      <c r="F67" s="41"/>
      <c r="G67" s="41"/>
      <c r="H67" s="41"/>
      <c r="I67" s="17">
        <f>I68</f>
        <v>20161.89</v>
      </c>
      <c r="J67" s="17">
        <f>J68</f>
        <v>0</v>
      </c>
      <c r="K67" s="17">
        <f>K68</f>
        <v>20161.89</v>
      </c>
      <c r="L67" s="42"/>
      <c r="M67" s="186"/>
      <c r="N67" s="187"/>
      <c r="O67" s="20">
        <f>I67-J67-K67</f>
        <v>0</v>
      </c>
      <c r="P67" s="21">
        <f>J67/I67*100</f>
        <v>0</v>
      </c>
      <c r="Q67" s="325"/>
      <c r="R67" s="326"/>
    </row>
    <row r="68" spans="1:50" ht="40.5" customHeight="1" x14ac:dyDescent="0.25">
      <c r="A68" s="175" t="s">
        <v>109</v>
      </c>
      <c r="B68" s="22" t="s">
        <v>9</v>
      </c>
      <c r="C68" s="22" t="s">
        <v>12</v>
      </c>
      <c r="D68" s="22" t="s">
        <v>12</v>
      </c>
      <c r="E68" s="22" t="s">
        <v>66</v>
      </c>
      <c r="F68" s="22" t="s">
        <v>22</v>
      </c>
      <c r="G68" s="22" t="s">
        <v>104</v>
      </c>
      <c r="H68" s="22"/>
      <c r="I68" s="35">
        <v>20161.89</v>
      </c>
      <c r="J68" s="100">
        <v>0</v>
      </c>
      <c r="K68" s="34">
        <f>I68-J68</f>
        <v>20161.89</v>
      </c>
      <c r="L68" s="34" t="e">
        <f>#REF!</f>
        <v>#REF!</v>
      </c>
      <c r="M68" s="34" t="e">
        <f>#REF!</f>
        <v>#REF!</v>
      </c>
      <c r="N68" s="34" t="e">
        <f>#REF!</f>
        <v>#REF!</v>
      </c>
      <c r="O68" s="25">
        <f t="shared" ref="O68" si="34">I68-J68-K68</f>
        <v>0</v>
      </c>
      <c r="P68" s="26">
        <f t="shared" ref="P68" si="35">J68/I68*100</f>
        <v>0</v>
      </c>
      <c r="Q68" s="325"/>
      <c r="R68" s="326"/>
    </row>
    <row r="69" spans="1:50" s="2" customFormat="1" ht="20.25" customHeight="1" x14ac:dyDescent="0.3">
      <c r="A69" s="333" t="s">
        <v>54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40"/>
      <c r="R69" s="340"/>
    </row>
    <row r="70" spans="1:50" ht="19.5" x14ac:dyDescent="0.25">
      <c r="A70" s="173" t="s">
        <v>11</v>
      </c>
      <c r="B70" s="8" t="s">
        <v>9</v>
      </c>
      <c r="C70" s="8" t="s">
        <v>12</v>
      </c>
      <c r="D70" s="8"/>
      <c r="E70" s="8"/>
      <c r="F70" s="8"/>
      <c r="G70" s="8"/>
      <c r="H70" s="8"/>
      <c r="I70" s="9">
        <f t="shared" ref="I70:N70" si="36">I71+I101</f>
        <v>76959910</v>
      </c>
      <c r="J70" s="9">
        <f t="shared" si="36"/>
        <v>18517362.660000004</v>
      </c>
      <c r="K70" s="9">
        <f t="shared" si="36"/>
        <v>58442547.340000004</v>
      </c>
      <c r="L70" s="9" t="e">
        <f t="shared" si="36"/>
        <v>#REF!</v>
      </c>
      <c r="M70" s="9" t="e">
        <f t="shared" si="36"/>
        <v>#REF!</v>
      </c>
      <c r="N70" s="9" t="e">
        <f t="shared" si="36"/>
        <v>#REF!</v>
      </c>
      <c r="O70" s="11">
        <f>I70-J70-K70</f>
        <v>0</v>
      </c>
      <c r="P70" s="12">
        <f>J70/I70*100</f>
        <v>24.061050305282329</v>
      </c>
      <c r="Q70" s="331"/>
      <c r="R70" s="331"/>
    </row>
    <row r="71" spans="1:50" s="15" customFormat="1" ht="19.5" x14ac:dyDescent="0.25">
      <c r="A71" s="174" t="s">
        <v>13</v>
      </c>
      <c r="B71" s="13" t="s">
        <v>9</v>
      </c>
      <c r="C71" s="13" t="s">
        <v>12</v>
      </c>
      <c r="D71" s="13" t="s">
        <v>14</v>
      </c>
      <c r="E71" s="13"/>
      <c r="F71" s="13"/>
      <c r="G71" s="13"/>
      <c r="H71" s="13"/>
      <c r="I71" s="157">
        <f>I72+I89+I92+I98+I95</f>
        <v>76576834</v>
      </c>
      <c r="J71" s="157">
        <f>J72+J89+J92+J98+J95</f>
        <v>18452562.660000004</v>
      </c>
      <c r="K71" s="14">
        <f>K72+K89+K92+K98+K95</f>
        <v>58124271.340000004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7">
        <f t="shared" ref="I71:O74" si="37">O72</f>
        <v>0</v>
      </c>
      <c r="P71" s="48">
        <f>J71/I71*100</f>
        <v>24.096794939315462</v>
      </c>
      <c r="Q71" s="331"/>
      <c r="R71" s="331"/>
    </row>
    <row r="72" spans="1:50" s="19" customFormat="1" ht="37.5" x14ac:dyDescent="0.25">
      <c r="A72" s="40" t="s">
        <v>15</v>
      </c>
      <c r="B72" s="41" t="s">
        <v>9</v>
      </c>
      <c r="C72" s="41" t="s">
        <v>12</v>
      </c>
      <c r="D72" s="41" t="s">
        <v>14</v>
      </c>
      <c r="E72" s="41" t="s">
        <v>55</v>
      </c>
      <c r="F72" s="41"/>
      <c r="G72" s="41"/>
      <c r="H72" s="41"/>
      <c r="I72" s="17">
        <f>I73</f>
        <v>73065724.890000001</v>
      </c>
      <c r="J72" s="17">
        <f>J73</f>
        <v>17797986.190000001</v>
      </c>
      <c r="K72" s="17">
        <f t="shared" si="37"/>
        <v>55267738.70000001</v>
      </c>
      <c r="L72" s="17">
        <f t="shared" si="37"/>
        <v>0</v>
      </c>
      <c r="M72" s="17">
        <f t="shared" si="37"/>
        <v>0</v>
      </c>
      <c r="N72" s="17">
        <f t="shared" si="37"/>
        <v>0</v>
      </c>
      <c r="O72" s="17">
        <f t="shared" si="37"/>
        <v>0</v>
      </c>
      <c r="P72" s="21">
        <f t="shared" ref="P72:P100" si="38">J72/I72*100</f>
        <v>24.358871710086717</v>
      </c>
      <c r="Q72" s="346"/>
      <c r="R72" s="346"/>
    </row>
    <row r="73" spans="1:50" s="15" customFormat="1" ht="56.25" x14ac:dyDescent="0.25">
      <c r="A73" s="194" t="s">
        <v>17</v>
      </c>
      <c r="B73" s="27" t="s">
        <v>9</v>
      </c>
      <c r="C73" s="27" t="s">
        <v>12</v>
      </c>
      <c r="D73" s="27" t="s">
        <v>14</v>
      </c>
      <c r="E73" s="27" t="s">
        <v>55</v>
      </c>
      <c r="F73" s="27"/>
      <c r="G73" s="27"/>
      <c r="H73" s="27"/>
      <c r="I73" s="28">
        <f t="shared" si="37"/>
        <v>73065724.890000001</v>
      </c>
      <c r="J73" s="156">
        <f>J74</f>
        <v>17797986.190000001</v>
      </c>
      <c r="K73" s="44">
        <f t="shared" si="37"/>
        <v>55267738.70000001</v>
      </c>
      <c r="L73" s="24"/>
      <c r="M73" s="184"/>
      <c r="N73" s="185"/>
      <c r="O73" s="30">
        <f t="shared" ref="O73:O103" si="39">I73-J73-K73</f>
        <v>0</v>
      </c>
      <c r="P73" s="31">
        <f t="shared" si="38"/>
        <v>24.358871710086717</v>
      </c>
      <c r="Q73" s="331"/>
      <c r="R73" s="331"/>
      <c r="S73" s="1"/>
      <c r="T73" s="1"/>
      <c r="U73" s="1"/>
      <c r="V73" s="1"/>
      <c r="W73" s="1"/>
      <c r="X73" s="1"/>
      <c r="Y73" s="1"/>
    </row>
    <row r="74" spans="1:50" s="15" customFormat="1" ht="18.75" x14ac:dyDescent="0.25">
      <c r="A74" s="99" t="s">
        <v>19</v>
      </c>
      <c r="B74" s="22" t="s">
        <v>9</v>
      </c>
      <c r="C74" s="22" t="s">
        <v>12</v>
      </c>
      <c r="D74" s="22" t="s">
        <v>14</v>
      </c>
      <c r="E74" s="22" t="s">
        <v>55</v>
      </c>
      <c r="F74" s="22" t="s">
        <v>20</v>
      </c>
      <c r="G74" s="22"/>
      <c r="H74" s="22"/>
      <c r="I74" s="28">
        <f t="shared" si="37"/>
        <v>73065724.890000001</v>
      </c>
      <c r="J74" s="156">
        <f t="shared" si="37"/>
        <v>17797986.190000001</v>
      </c>
      <c r="K74" s="44">
        <f t="shared" si="37"/>
        <v>55267738.70000001</v>
      </c>
      <c r="L74" s="38"/>
      <c r="M74" s="184"/>
      <c r="N74" s="185"/>
      <c r="O74" s="30">
        <f t="shared" si="39"/>
        <v>0</v>
      </c>
      <c r="P74" s="31">
        <f t="shared" si="38"/>
        <v>24.358871710086717</v>
      </c>
      <c r="Q74" s="331"/>
      <c r="R74" s="331"/>
      <c r="S74" s="1"/>
      <c r="T74" s="1"/>
      <c r="U74" s="1"/>
      <c r="V74" s="1"/>
      <c r="W74" s="1"/>
      <c r="X74" s="1"/>
      <c r="Y74" s="1"/>
    </row>
    <row r="75" spans="1:50" s="2" customFormat="1" ht="56.25" x14ac:dyDescent="0.25">
      <c r="A75" s="99" t="s">
        <v>21</v>
      </c>
      <c r="B75" s="22" t="s">
        <v>9</v>
      </c>
      <c r="C75" s="22" t="s">
        <v>12</v>
      </c>
      <c r="D75" s="22" t="s">
        <v>14</v>
      </c>
      <c r="E75" s="22" t="s">
        <v>55</v>
      </c>
      <c r="F75" s="22" t="s">
        <v>22</v>
      </c>
      <c r="G75" s="22"/>
      <c r="H75" s="22"/>
      <c r="I75" s="28">
        <f t="shared" ref="I75:N75" si="40">I76+I86</f>
        <v>73065724.890000001</v>
      </c>
      <c r="J75" s="28">
        <f t="shared" si="40"/>
        <v>17797986.190000001</v>
      </c>
      <c r="K75" s="33">
        <f t="shared" si="40"/>
        <v>55267738.70000001</v>
      </c>
      <c r="L75" s="33" t="e">
        <f t="shared" si="40"/>
        <v>#REF!</v>
      </c>
      <c r="M75" s="33" t="e">
        <f t="shared" si="40"/>
        <v>#REF!</v>
      </c>
      <c r="N75" s="33" t="e">
        <f t="shared" si="40"/>
        <v>#REF!</v>
      </c>
      <c r="O75" s="30">
        <f t="shared" si="39"/>
        <v>0</v>
      </c>
      <c r="P75" s="31">
        <f t="shared" si="38"/>
        <v>24.358871710086717</v>
      </c>
      <c r="Q75" s="331"/>
      <c r="R75" s="33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8.75" x14ac:dyDescent="0.25">
      <c r="A76" s="99" t="s">
        <v>23</v>
      </c>
      <c r="B76" s="22" t="s">
        <v>9</v>
      </c>
      <c r="C76" s="22" t="s">
        <v>12</v>
      </c>
      <c r="D76" s="22" t="s">
        <v>14</v>
      </c>
      <c r="E76" s="22" t="s">
        <v>55</v>
      </c>
      <c r="F76" s="22" t="s">
        <v>22</v>
      </c>
      <c r="G76" s="22" t="s">
        <v>24</v>
      </c>
      <c r="H76" s="22"/>
      <c r="I76" s="28">
        <f>I77+I84+I83+I81</f>
        <v>69842324.890000001</v>
      </c>
      <c r="J76" s="28">
        <f>J77+J84+J83+J81</f>
        <v>17631916.09</v>
      </c>
      <c r="K76" s="33">
        <f>K77+K84+K83+K81</f>
        <v>52210408.800000012</v>
      </c>
      <c r="L76" s="33" t="e">
        <f>L77+L84+#REF!</f>
        <v>#REF!</v>
      </c>
      <c r="M76" s="33" t="e">
        <f>M77+M84+#REF!</f>
        <v>#REF!</v>
      </c>
      <c r="N76" s="33" t="e">
        <f>N77+N84+#REF!</f>
        <v>#REF!</v>
      </c>
      <c r="O76" s="30">
        <f t="shared" si="39"/>
        <v>0</v>
      </c>
      <c r="P76" s="31">
        <f t="shared" si="38"/>
        <v>25.245316672619143</v>
      </c>
      <c r="Q76" s="331"/>
      <c r="R76" s="331"/>
    </row>
    <row r="77" spans="1:50" ht="18.75" x14ac:dyDescent="0.25">
      <c r="A77" s="99" t="s">
        <v>25</v>
      </c>
      <c r="B77" s="22" t="s">
        <v>9</v>
      </c>
      <c r="C77" s="22" t="s">
        <v>12</v>
      </c>
      <c r="D77" s="22" t="s">
        <v>14</v>
      </c>
      <c r="E77" s="22" t="s">
        <v>55</v>
      </c>
      <c r="F77" s="22" t="s">
        <v>22</v>
      </c>
      <c r="G77" s="22" t="s">
        <v>26</v>
      </c>
      <c r="H77" s="22"/>
      <c r="I77" s="28">
        <f>I78+I79+I80</f>
        <v>68906324.890000001</v>
      </c>
      <c r="J77" s="28">
        <f t="shared" ref="J77:K77" si="41">J78+J79+J80</f>
        <v>17367035.419999998</v>
      </c>
      <c r="K77" s="33">
        <f t="shared" si="41"/>
        <v>51539289.470000006</v>
      </c>
      <c r="L77" s="33" t="e">
        <f>L78+#REF!+L79</f>
        <v>#REF!</v>
      </c>
      <c r="M77" s="33" t="e">
        <f>M78+#REF!+M79</f>
        <v>#REF!</v>
      </c>
      <c r="N77" s="33" t="e">
        <f>N78+#REF!+N79</f>
        <v>#REF!</v>
      </c>
      <c r="O77" s="30">
        <f t="shared" si="39"/>
        <v>0</v>
      </c>
      <c r="P77" s="31">
        <f t="shared" si="38"/>
        <v>25.203833534474835</v>
      </c>
      <c r="Q77" s="331"/>
      <c r="R77" s="331"/>
    </row>
    <row r="78" spans="1:50" ht="18.75" x14ac:dyDescent="0.25">
      <c r="A78" s="99" t="s">
        <v>27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22</v>
      </c>
      <c r="G78" s="22" t="s">
        <v>28</v>
      </c>
      <c r="H78" s="22"/>
      <c r="I78" s="35">
        <v>52865502.990000002</v>
      </c>
      <c r="J78" s="35">
        <v>13337418.119999999</v>
      </c>
      <c r="K78" s="23">
        <f>I78-J78</f>
        <v>39528084.870000005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5">
        <f t="shared" si="39"/>
        <v>0</v>
      </c>
      <c r="P78" s="26">
        <f t="shared" si="38"/>
        <v>25.228962869270145</v>
      </c>
      <c r="Q78" s="331"/>
      <c r="R78" s="331"/>
    </row>
    <row r="79" spans="1:50" ht="18.75" x14ac:dyDescent="0.25">
      <c r="A79" s="175" t="s">
        <v>29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 t="s">
        <v>30</v>
      </c>
      <c r="H79" s="22"/>
      <c r="I79" s="35">
        <v>9000</v>
      </c>
      <c r="J79" s="35">
        <v>0</v>
      </c>
      <c r="K79" s="23">
        <f t="shared" ref="K79" si="42">I79-J79</f>
        <v>9000</v>
      </c>
      <c r="L79" s="23" t="e">
        <f>#REF!+#REF!</f>
        <v>#REF!</v>
      </c>
      <c r="M79" s="23" t="e">
        <f>#REF!+#REF!</f>
        <v>#REF!</v>
      </c>
      <c r="N79" s="23" t="e">
        <f>#REF!+#REF!</f>
        <v>#REF!</v>
      </c>
      <c r="O79" s="25">
        <f t="shared" si="39"/>
        <v>0</v>
      </c>
      <c r="P79" s="26">
        <f t="shared" si="38"/>
        <v>0</v>
      </c>
      <c r="Q79" s="331"/>
      <c r="R79" s="331"/>
    </row>
    <row r="80" spans="1:50" ht="21.75" customHeight="1" x14ac:dyDescent="0.25">
      <c r="A80" s="175" t="s">
        <v>31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32</v>
      </c>
      <c r="H80" s="22"/>
      <c r="I80" s="35">
        <v>16031821.9</v>
      </c>
      <c r="J80" s="100">
        <v>4029617.3</v>
      </c>
      <c r="K80" s="23">
        <f>I80-J80</f>
        <v>12002204.600000001</v>
      </c>
      <c r="L80" s="24" t="e">
        <f>#REF!</f>
        <v>#REF!</v>
      </c>
      <c r="M80" s="182"/>
      <c r="N80" s="183"/>
      <c r="O80" s="25">
        <f t="shared" si="39"/>
        <v>0</v>
      </c>
      <c r="P80" s="26">
        <f t="shared" si="38"/>
        <v>25.135117674928757</v>
      </c>
      <c r="Q80" s="343"/>
      <c r="R80" s="343"/>
    </row>
    <row r="81" spans="1:50" ht="21.75" customHeight="1" x14ac:dyDescent="0.25">
      <c r="A81" s="179" t="s">
        <v>33</v>
      </c>
      <c r="B81" s="27" t="s">
        <v>9</v>
      </c>
      <c r="C81" s="27" t="s">
        <v>12</v>
      </c>
      <c r="D81" s="27" t="s">
        <v>14</v>
      </c>
      <c r="E81" s="27" t="s">
        <v>55</v>
      </c>
      <c r="F81" s="27" t="s">
        <v>22</v>
      </c>
      <c r="G81" s="27" t="s">
        <v>34</v>
      </c>
      <c r="H81" s="22"/>
      <c r="I81" s="28">
        <f>I82</f>
        <v>186000</v>
      </c>
      <c r="J81" s="156">
        <f>J82</f>
        <v>13200</v>
      </c>
      <c r="K81" s="33">
        <f t="shared" ref="K81:K82" si="43">I81-J81</f>
        <v>172800</v>
      </c>
      <c r="L81" s="92"/>
      <c r="M81" s="184"/>
      <c r="N81" s="185"/>
      <c r="O81" s="30">
        <f t="shared" si="39"/>
        <v>0</v>
      </c>
      <c r="P81" s="31">
        <f t="shared" si="38"/>
        <v>7.096774193548387</v>
      </c>
      <c r="Q81" s="344"/>
      <c r="R81" s="345"/>
    </row>
    <row r="82" spans="1:50" ht="24" customHeight="1" x14ac:dyDescent="0.25">
      <c r="A82" s="99" t="s">
        <v>43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44</v>
      </c>
      <c r="H82" s="22"/>
      <c r="I82" s="35">
        <v>186000</v>
      </c>
      <c r="J82" s="100">
        <v>13200</v>
      </c>
      <c r="K82" s="23">
        <f t="shared" si="43"/>
        <v>172800</v>
      </c>
      <c r="L82" s="24"/>
      <c r="M82" s="182"/>
      <c r="N82" s="183"/>
      <c r="O82" s="25">
        <f t="shared" si="39"/>
        <v>0</v>
      </c>
      <c r="P82" s="26">
        <f t="shared" si="38"/>
        <v>7.096774193548387</v>
      </c>
      <c r="Q82" s="344"/>
      <c r="R82" s="345"/>
    </row>
    <row r="83" spans="1:50" ht="42" customHeight="1" x14ac:dyDescent="0.25">
      <c r="A83" s="179" t="s">
        <v>93</v>
      </c>
      <c r="B83" s="27" t="s">
        <v>9</v>
      </c>
      <c r="C83" s="27" t="s">
        <v>12</v>
      </c>
      <c r="D83" s="27" t="s">
        <v>14</v>
      </c>
      <c r="E83" s="27" t="s">
        <v>55</v>
      </c>
      <c r="F83" s="27" t="s">
        <v>22</v>
      </c>
      <c r="G83" s="27" t="s">
        <v>94</v>
      </c>
      <c r="H83" s="27"/>
      <c r="I83" s="28">
        <v>220000</v>
      </c>
      <c r="J83" s="156">
        <v>159033.12</v>
      </c>
      <c r="K83" s="28">
        <f>I83-J83</f>
        <v>60966.880000000005</v>
      </c>
      <c r="L83" s="94">
        <v>802458</v>
      </c>
      <c r="M83" s="184">
        <f>L83</f>
        <v>802458</v>
      </c>
      <c r="N83" s="185"/>
      <c r="O83" s="30">
        <f>I83-J83-K83</f>
        <v>0</v>
      </c>
      <c r="P83" s="31">
        <v>0</v>
      </c>
      <c r="Q83" s="344"/>
      <c r="R83" s="345"/>
    </row>
    <row r="84" spans="1:50" ht="18.75" x14ac:dyDescent="0.25">
      <c r="A84" s="179" t="s">
        <v>33</v>
      </c>
      <c r="B84" s="27" t="s">
        <v>9</v>
      </c>
      <c r="C84" s="27" t="s">
        <v>12</v>
      </c>
      <c r="D84" s="27" t="s">
        <v>14</v>
      </c>
      <c r="E84" s="27" t="s">
        <v>55</v>
      </c>
      <c r="F84" s="27" t="s">
        <v>22</v>
      </c>
      <c r="G84" s="27" t="s">
        <v>34</v>
      </c>
      <c r="H84" s="27"/>
      <c r="I84" s="28">
        <f>I85</f>
        <v>530000</v>
      </c>
      <c r="J84" s="28">
        <f t="shared" ref="J84:P84" si="44">J85</f>
        <v>92647.55</v>
      </c>
      <c r="K84" s="28">
        <f t="shared" si="44"/>
        <v>437352.45</v>
      </c>
      <c r="L84" s="28" t="e">
        <f t="shared" si="44"/>
        <v>#REF!</v>
      </c>
      <c r="M84" s="28" t="e">
        <f t="shared" si="44"/>
        <v>#REF!</v>
      </c>
      <c r="N84" s="28" t="e">
        <f t="shared" si="44"/>
        <v>#REF!</v>
      </c>
      <c r="O84" s="28">
        <f t="shared" si="44"/>
        <v>0</v>
      </c>
      <c r="P84" s="28">
        <f t="shared" si="44"/>
        <v>17.480669811320755</v>
      </c>
      <c r="Q84" s="331"/>
      <c r="R84" s="331"/>
    </row>
    <row r="85" spans="1:50" ht="18.75" x14ac:dyDescent="0.25">
      <c r="A85" s="99" t="s">
        <v>43</v>
      </c>
      <c r="B85" s="22" t="s">
        <v>9</v>
      </c>
      <c r="C85" s="22" t="s">
        <v>12</v>
      </c>
      <c r="D85" s="22" t="s">
        <v>14</v>
      </c>
      <c r="E85" s="22" t="s">
        <v>55</v>
      </c>
      <c r="F85" s="22" t="s">
        <v>22</v>
      </c>
      <c r="G85" s="22" t="s">
        <v>44</v>
      </c>
      <c r="H85" s="22"/>
      <c r="I85" s="35">
        <v>530000</v>
      </c>
      <c r="J85" s="35">
        <f>47892.55+44755</f>
        <v>92647.55</v>
      </c>
      <c r="K85" s="35">
        <f>I85-J85</f>
        <v>437352.45</v>
      </c>
      <c r="L85" s="35" t="e">
        <f>L83+#REF!+#REF!</f>
        <v>#REF!</v>
      </c>
      <c r="M85" s="35" t="e">
        <f>M83+#REF!+#REF!</f>
        <v>#REF!</v>
      </c>
      <c r="N85" s="35" t="e">
        <f>N83+#REF!+#REF!</f>
        <v>#REF!</v>
      </c>
      <c r="O85" s="153">
        <f t="shared" si="39"/>
        <v>0</v>
      </c>
      <c r="P85" s="154">
        <f t="shared" si="38"/>
        <v>17.480669811320755</v>
      </c>
      <c r="Q85" s="331"/>
      <c r="R85" s="331"/>
    </row>
    <row r="86" spans="1:50" s="2" customFormat="1" ht="18.75" x14ac:dyDescent="0.25">
      <c r="A86" s="194" t="s">
        <v>45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46</v>
      </c>
      <c r="H86" s="27"/>
      <c r="I86" s="28">
        <f>I87+I88</f>
        <v>3223400</v>
      </c>
      <c r="J86" s="28">
        <f t="shared" ref="J86:N86" si="45">J87+J88</f>
        <v>166070.1</v>
      </c>
      <c r="K86" s="28">
        <f t="shared" si="45"/>
        <v>3057329.9</v>
      </c>
      <c r="L86" s="28" t="e">
        <f t="shared" si="45"/>
        <v>#REF!</v>
      </c>
      <c r="M86" s="28">
        <f t="shared" si="45"/>
        <v>0</v>
      </c>
      <c r="N86" s="28">
        <f t="shared" si="45"/>
        <v>0</v>
      </c>
      <c r="O86" s="88">
        <f t="shared" si="39"/>
        <v>0</v>
      </c>
      <c r="P86" s="155">
        <f t="shared" si="38"/>
        <v>5.1520165043122175</v>
      </c>
      <c r="Q86" s="341"/>
      <c r="R86" s="341"/>
      <c r="S86" s="15"/>
      <c r="T86" s="15"/>
      <c r="U86" s="15"/>
      <c r="V86" s="15"/>
      <c r="W86" s="15"/>
      <c r="X86" s="15"/>
      <c r="Y86" s="1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8.75" x14ac:dyDescent="0.25">
      <c r="A87" s="99" t="s">
        <v>47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48</v>
      </c>
      <c r="H87" s="22"/>
      <c r="I87" s="35">
        <v>2693400</v>
      </c>
      <c r="J87" s="35">
        <v>166070.1</v>
      </c>
      <c r="K87" s="35">
        <f t="shared" ref="K87:K88" si="46">I87-J87</f>
        <v>2527329.9</v>
      </c>
      <c r="L87" s="50" t="e">
        <f>L88+#REF!+#REF!+#REF!+#REF!</f>
        <v>#REF!</v>
      </c>
      <c r="M87" s="176"/>
      <c r="N87" s="177"/>
      <c r="O87" s="153">
        <f t="shared" si="39"/>
        <v>0</v>
      </c>
      <c r="P87" s="154">
        <f t="shared" si="38"/>
        <v>6.1658164401871245</v>
      </c>
      <c r="Q87" s="341"/>
      <c r="R87" s="341"/>
    </row>
    <row r="88" spans="1:50" ht="37.5" x14ac:dyDescent="0.25">
      <c r="A88" s="175" t="s">
        <v>109</v>
      </c>
      <c r="B88" s="22" t="s">
        <v>9</v>
      </c>
      <c r="C88" s="22" t="s">
        <v>12</v>
      </c>
      <c r="D88" s="22" t="s">
        <v>14</v>
      </c>
      <c r="E88" s="22" t="s">
        <v>55</v>
      </c>
      <c r="F88" s="22" t="s">
        <v>22</v>
      </c>
      <c r="G88" s="22" t="s">
        <v>104</v>
      </c>
      <c r="H88" s="22"/>
      <c r="I88" s="35">
        <v>530000</v>
      </c>
      <c r="J88" s="100">
        <v>0</v>
      </c>
      <c r="K88" s="35">
        <f t="shared" si="46"/>
        <v>530000</v>
      </c>
      <c r="L88" s="50" t="e">
        <f>#REF!</f>
        <v>#REF!</v>
      </c>
      <c r="M88" s="176"/>
      <c r="N88" s="177"/>
      <c r="O88" s="153">
        <f t="shared" si="39"/>
        <v>0</v>
      </c>
      <c r="P88" s="154">
        <f t="shared" si="38"/>
        <v>0</v>
      </c>
      <c r="Q88" s="342"/>
      <c r="R88" s="342"/>
    </row>
    <row r="89" spans="1:50" s="2" customFormat="1" ht="118.5" customHeight="1" x14ac:dyDescent="0.25">
      <c r="A89" s="86" t="s">
        <v>130</v>
      </c>
      <c r="B89" s="41" t="s">
        <v>9</v>
      </c>
      <c r="C89" s="41" t="s">
        <v>12</v>
      </c>
      <c r="D89" s="41" t="s">
        <v>14</v>
      </c>
      <c r="E89" s="41" t="s">
        <v>57</v>
      </c>
      <c r="F89" s="41" t="s">
        <v>22</v>
      </c>
      <c r="G89" s="16"/>
      <c r="H89" s="16"/>
      <c r="I89" s="17">
        <f>I90+I91</f>
        <v>254011.41</v>
      </c>
      <c r="J89" s="17">
        <f t="shared" ref="J89:K89" si="47">J90+J91</f>
        <v>52659.76</v>
      </c>
      <c r="K89" s="17">
        <f t="shared" si="47"/>
        <v>201351.65</v>
      </c>
      <c r="L89" s="42"/>
      <c r="M89" s="186"/>
      <c r="N89" s="187"/>
      <c r="O89" s="20">
        <f t="shared" si="39"/>
        <v>0</v>
      </c>
      <c r="P89" s="21">
        <f t="shared" si="38"/>
        <v>20.731257702163852</v>
      </c>
      <c r="Q89" s="331"/>
      <c r="R89" s="33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2" customFormat="1" ht="18.75" x14ac:dyDescent="0.25">
      <c r="A90" s="175" t="s">
        <v>27</v>
      </c>
      <c r="B90" s="43" t="s">
        <v>9</v>
      </c>
      <c r="C90" s="43" t="s">
        <v>12</v>
      </c>
      <c r="D90" s="43" t="s">
        <v>14</v>
      </c>
      <c r="E90" s="43" t="s">
        <v>57</v>
      </c>
      <c r="F90" s="43" t="s">
        <v>22</v>
      </c>
      <c r="G90" s="43" t="s">
        <v>28</v>
      </c>
      <c r="H90" s="43"/>
      <c r="I90" s="35">
        <v>195093.25</v>
      </c>
      <c r="J90" s="100">
        <v>40445.29</v>
      </c>
      <c r="K90" s="35">
        <f t="shared" ref="K90:K91" si="48">I90-J90</f>
        <v>154647.96</v>
      </c>
      <c r="L90" s="93"/>
      <c r="M90" s="188"/>
      <c r="N90" s="189"/>
      <c r="O90" s="25">
        <f t="shared" si="39"/>
        <v>0</v>
      </c>
      <c r="P90" s="26">
        <f t="shared" si="38"/>
        <v>20.731260563858566</v>
      </c>
      <c r="Q90" s="331"/>
      <c r="R90" s="33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15" customFormat="1" ht="18.75" x14ac:dyDescent="0.25">
      <c r="A91" s="99" t="s">
        <v>31</v>
      </c>
      <c r="B91" s="43" t="s">
        <v>9</v>
      </c>
      <c r="C91" s="43" t="s">
        <v>12</v>
      </c>
      <c r="D91" s="43" t="s">
        <v>14</v>
      </c>
      <c r="E91" s="43" t="s">
        <v>57</v>
      </c>
      <c r="F91" s="43" t="s">
        <v>22</v>
      </c>
      <c r="G91" s="103">
        <v>213</v>
      </c>
      <c r="H91" s="22"/>
      <c r="I91" s="35">
        <v>58918.16</v>
      </c>
      <c r="J91" s="100">
        <v>12214.47</v>
      </c>
      <c r="K91" s="35">
        <f t="shared" si="48"/>
        <v>46703.69</v>
      </c>
      <c r="L91" s="93"/>
      <c r="M91" s="188"/>
      <c r="N91" s="189"/>
      <c r="O91" s="25">
        <f t="shared" si="39"/>
        <v>0</v>
      </c>
      <c r="P91" s="26">
        <f t="shared" si="38"/>
        <v>20.731248226353298</v>
      </c>
      <c r="Q91" s="331"/>
      <c r="R91" s="331"/>
    </row>
    <row r="92" spans="1:50" s="15" customFormat="1" ht="118.5" customHeight="1" x14ac:dyDescent="0.25">
      <c r="A92" s="86" t="s">
        <v>131</v>
      </c>
      <c r="B92" s="41" t="s">
        <v>9</v>
      </c>
      <c r="C92" s="41" t="s">
        <v>12</v>
      </c>
      <c r="D92" s="41" t="s">
        <v>14</v>
      </c>
      <c r="E92" s="41" t="s">
        <v>57</v>
      </c>
      <c r="F92" s="41" t="s">
        <v>22</v>
      </c>
      <c r="G92" s="16"/>
      <c r="H92" s="16"/>
      <c r="I92" s="17">
        <f>I93+I94</f>
        <v>1678661.9200000002</v>
      </c>
      <c r="J92" s="17">
        <f t="shared" ref="J92:K92" si="49">J93+J94</f>
        <v>318007.58999999997</v>
      </c>
      <c r="K92" s="17">
        <f t="shared" si="49"/>
        <v>1360654.33</v>
      </c>
      <c r="L92" s="42"/>
      <c r="M92" s="186"/>
      <c r="N92" s="187"/>
      <c r="O92" s="20">
        <f t="shared" si="39"/>
        <v>0</v>
      </c>
      <c r="P92" s="21">
        <f t="shared" si="38"/>
        <v>18.944111748242907</v>
      </c>
      <c r="Q92" s="338"/>
      <c r="R92" s="339"/>
    </row>
    <row r="93" spans="1:50" s="15" customFormat="1" ht="18.75" x14ac:dyDescent="0.25">
      <c r="A93" s="175" t="s">
        <v>27</v>
      </c>
      <c r="B93" s="43" t="s">
        <v>9</v>
      </c>
      <c r="C93" s="43" t="s">
        <v>12</v>
      </c>
      <c r="D93" s="43" t="s">
        <v>14</v>
      </c>
      <c r="E93" s="43" t="s">
        <v>57</v>
      </c>
      <c r="F93" s="43" t="s">
        <v>22</v>
      </c>
      <c r="G93" s="43" t="s">
        <v>28</v>
      </c>
      <c r="H93" s="43"/>
      <c r="I93" s="35">
        <v>1289294.8700000001</v>
      </c>
      <c r="J93" s="100">
        <v>244245.46</v>
      </c>
      <c r="K93" s="35">
        <f t="shared" ref="K93:K94" si="50">I93-J93</f>
        <v>1045049.4100000001</v>
      </c>
      <c r="L93" s="93"/>
      <c r="M93" s="188"/>
      <c r="N93" s="189"/>
      <c r="O93" s="25">
        <f t="shared" si="39"/>
        <v>0</v>
      </c>
      <c r="P93" s="26">
        <f t="shared" si="38"/>
        <v>18.944111675554868</v>
      </c>
      <c r="Q93" s="338"/>
      <c r="R93" s="339"/>
    </row>
    <row r="94" spans="1:50" s="15" customFormat="1" ht="18.75" x14ac:dyDescent="0.25">
      <c r="A94" s="99" t="s">
        <v>31</v>
      </c>
      <c r="B94" s="43" t="s">
        <v>9</v>
      </c>
      <c r="C94" s="43" t="s">
        <v>12</v>
      </c>
      <c r="D94" s="43" t="s">
        <v>14</v>
      </c>
      <c r="E94" s="43" t="s">
        <v>57</v>
      </c>
      <c r="F94" s="43" t="s">
        <v>22</v>
      </c>
      <c r="G94" s="103">
        <v>213</v>
      </c>
      <c r="H94" s="22"/>
      <c r="I94" s="35">
        <v>389367.05</v>
      </c>
      <c r="J94" s="100">
        <v>73762.13</v>
      </c>
      <c r="K94" s="35">
        <f t="shared" si="50"/>
        <v>315604.92</v>
      </c>
      <c r="L94" s="93"/>
      <c r="M94" s="188"/>
      <c r="N94" s="189"/>
      <c r="O94" s="25">
        <f t="shared" si="39"/>
        <v>0</v>
      </c>
      <c r="P94" s="26">
        <f t="shared" si="38"/>
        <v>18.944111988931784</v>
      </c>
      <c r="Q94" s="338"/>
      <c r="R94" s="339"/>
    </row>
    <row r="95" spans="1:50" s="15" customFormat="1" ht="118.5" hidden="1" customHeight="1" x14ac:dyDescent="0.25">
      <c r="A95" s="86" t="s">
        <v>131</v>
      </c>
      <c r="B95" s="41" t="s">
        <v>9</v>
      </c>
      <c r="C95" s="41" t="s">
        <v>12</v>
      </c>
      <c r="D95" s="41" t="s">
        <v>14</v>
      </c>
      <c r="E95" s="41" t="s">
        <v>152</v>
      </c>
      <c r="F95" s="41" t="s">
        <v>22</v>
      </c>
      <c r="G95" s="16"/>
      <c r="H95" s="16"/>
      <c r="I95" s="17">
        <f>I96+I97</f>
        <v>0</v>
      </c>
      <c r="J95" s="17">
        <f t="shared" ref="J95:K95" si="51">J96+J97</f>
        <v>0</v>
      </c>
      <c r="K95" s="17">
        <f t="shared" si="51"/>
        <v>0</v>
      </c>
      <c r="L95" s="42"/>
      <c r="M95" s="186"/>
      <c r="N95" s="187"/>
      <c r="O95" s="20">
        <f t="shared" si="39"/>
        <v>0</v>
      </c>
      <c r="P95" s="21" t="e">
        <f t="shared" si="38"/>
        <v>#DIV/0!</v>
      </c>
      <c r="Q95" s="338"/>
      <c r="R95" s="339"/>
    </row>
    <row r="96" spans="1:50" s="15" customFormat="1" ht="18.75" hidden="1" x14ac:dyDescent="0.25">
      <c r="A96" s="175" t="s">
        <v>27</v>
      </c>
      <c r="B96" s="43" t="s">
        <v>9</v>
      </c>
      <c r="C96" s="43" t="s">
        <v>12</v>
      </c>
      <c r="D96" s="43" t="s">
        <v>14</v>
      </c>
      <c r="E96" s="43" t="s">
        <v>152</v>
      </c>
      <c r="F96" s="43" t="s">
        <v>22</v>
      </c>
      <c r="G96" s="43" t="s">
        <v>28</v>
      </c>
      <c r="H96" s="43"/>
      <c r="I96" s="121">
        <v>0</v>
      </c>
      <c r="J96" s="122">
        <v>0</v>
      </c>
      <c r="K96" s="35">
        <f>I96-J96</f>
        <v>0</v>
      </c>
      <c r="L96" s="93"/>
      <c r="M96" s="188"/>
      <c r="N96" s="189"/>
      <c r="O96" s="25">
        <f>I96-J96-K96</f>
        <v>0</v>
      </c>
      <c r="P96" s="26" t="e">
        <f t="shared" si="38"/>
        <v>#DIV/0!</v>
      </c>
      <c r="Q96" s="338"/>
      <c r="R96" s="339"/>
    </row>
    <row r="97" spans="1:50" s="15" customFormat="1" ht="18.75" hidden="1" x14ac:dyDescent="0.25">
      <c r="A97" s="99" t="s">
        <v>31</v>
      </c>
      <c r="B97" s="43" t="s">
        <v>9</v>
      </c>
      <c r="C97" s="43" t="s">
        <v>12</v>
      </c>
      <c r="D97" s="43" t="s">
        <v>14</v>
      </c>
      <c r="E97" s="43" t="s">
        <v>152</v>
      </c>
      <c r="F97" s="43" t="s">
        <v>22</v>
      </c>
      <c r="G97" s="103">
        <v>213</v>
      </c>
      <c r="H97" s="22"/>
      <c r="I97" s="121">
        <v>0</v>
      </c>
      <c r="J97" s="122">
        <v>0</v>
      </c>
      <c r="K97" s="35">
        <f t="shared" ref="K97" si="52">I97-J97</f>
        <v>0</v>
      </c>
      <c r="L97" s="93"/>
      <c r="M97" s="188"/>
      <c r="N97" s="189"/>
      <c r="O97" s="25">
        <f t="shared" si="39"/>
        <v>0</v>
      </c>
      <c r="P97" s="26" t="e">
        <f t="shared" si="38"/>
        <v>#DIV/0!</v>
      </c>
      <c r="Q97" s="338"/>
      <c r="R97" s="339"/>
    </row>
    <row r="98" spans="1:50" s="2" customFormat="1" ht="62.25" customHeight="1" x14ac:dyDescent="0.25">
      <c r="A98" s="190" t="s">
        <v>58</v>
      </c>
      <c r="B98" s="41" t="s">
        <v>9</v>
      </c>
      <c r="C98" s="41" t="s">
        <v>12</v>
      </c>
      <c r="D98" s="41" t="s">
        <v>14</v>
      </c>
      <c r="E98" s="41" t="s">
        <v>59</v>
      </c>
      <c r="F98" s="41" t="s">
        <v>22</v>
      </c>
      <c r="G98" s="41"/>
      <c r="H98" s="41"/>
      <c r="I98" s="17">
        <f>I100+I99</f>
        <v>1578435.78</v>
      </c>
      <c r="J98" s="17">
        <f>J100+J99</f>
        <v>283909.12</v>
      </c>
      <c r="K98" s="17">
        <f>K100+K99</f>
        <v>1294526.6600000001</v>
      </c>
      <c r="L98" s="18"/>
      <c r="M98" s="195"/>
      <c r="N98" s="196"/>
      <c r="O98" s="20">
        <f t="shared" si="39"/>
        <v>0</v>
      </c>
      <c r="P98" s="21">
        <f t="shared" si="38"/>
        <v>17.986738744607017</v>
      </c>
      <c r="Q98" s="331"/>
      <c r="R98" s="33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28.5" customHeight="1" x14ac:dyDescent="0.25">
      <c r="A99" s="175" t="s">
        <v>167</v>
      </c>
      <c r="B99" s="22" t="s">
        <v>9</v>
      </c>
      <c r="C99" s="22" t="s">
        <v>12</v>
      </c>
      <c r="D99" s="22" t="s">
        <v>14</v>
      </c>
      <c r="E99" s="22" t="s">
        <v>59</v>
      </c>
      <c r="F99" s="22" t="s">
        <v>22</v>
      </c>
      <c r="G99" s="22" t="s">
        <v>146</v>
      </c>
      <c r="H99" s="22"/>
      <c r="I99" s="23">
        <v>249335.78</v>
      </c>
      <c r="J99" s="34">
        <v>25073.439999999999</v>
      </c>
      <c r="K99" s="34">
        <f>I99-J99</f>
        <v>224262.34</v>
      </c>
      <c r="L99" s="24"/>
      <c r="M99" s="182"/>
      <c r="N99" s="183"/>
      <c r="O99" s="25"/>
      <c r="P99" s="26"/>
      <c r="Q99" s="331"/>
      <c r="R99" s="331"/>
    </row>
    <row r="100" spans="1:50" ht="18.75" x14ac:dyDescent="0.25">
      <c r="A100" s="99" t="s">
        <v>113</v>
      </c>
      <c r="B100" s="22" t="s">
        <v>9</v>
      </c>
      <c r="C100" s="22" t="s">
        <v>12</v>
      </c>
      <c r="D100" s="22" t="s">
        <v>14</v>
      </c>
      <c r="E100" s="22" t="s">
        <v>59</v>
      </c>
      <c r="F100" s="22" t="s">
        <v>22</v>
      </c>
      <c r="G100" s="22" t="s">
        <v>114</v>
      </c>
      <c r="H100" s="22"/>
      <c r="I100" s="35">
        <v>1329100</v>
      </c>
      <c r="J100" s="100">
        <v>258835.68</v>
      </c>
      <c r="K100" s="34">
        <f>I100-J100</f>
        <v>1070264.3200000001</v>
      </c>
      <c r="L100" s="93" t="e">
        <f>#REF!</f>
        <v>#REF!</v>
      </c>
      <c r="M100" s="188"/>
      <c r="N100" s="189"/>
      <c r="O100" s="25">
        <f t="shared" si="39"/>
        <v>0</v>
      </c>
      <c r="P100" s="26">
        <f t="shared" si="38"/>
        <v>19.474507561507785</v>
      </c>
      <c r="Q100" s="331"/>
      <c r="R100" s="331"/>
    </row>
    <row r="101" spans="1:50" s="15" customFormat="1" ht="117.75" customHeight="1" x14ac:dyDescent="0.25">
      <c r="A101" s="190" t="s">
        <v>73</v>
      </c>
      <c r="B101" s="41" t="s">
        <v>9</v>
      </c>
      <c r="C101" s="41" t="s">
        <v>12</v>
      </c>
      <c r="D101" s="41" t="s">
        <v>12</v>
      </c>
      <c r="E101" s="41" t="s">
        <v>74</v>
      </c>
      <c r="F101" s="41"/>
      <c r="G101" s="41"/>
      <c r="H101" s="41"/>
      <c r="I101" s="17">
        <f>I103+I102</f>
        <v>383076</v>
      </c>
      <c r="J101" s="17">
        <f t="shared" ref="J101:K101" si="53">J103+J102</f>
        <v>64800</v>
      </c>
      <c r="K101" s="17">
        <f t="shared" si="53"/>
        <v>318276</v>
      </c>
      <c r="L101" s="18" t="e">
        <f>L103</f>
        <v>#REF!</v>
      </c>
      <c r="M101" s="186"/>
      <c r="N101" s="187"/>
      <c r="O101" s="20">
        <f>I101-J101-K101</f>
        <v>0</v>
      </c>
      <c r="P101" s="21">
        <f>J101/I101*100</f>
        <v>16.915703411333521</v>
      </c>
      <c r="Q101" s="331"/>
      <c r="R101" s="331"/>
      <c r="Z101" s="1"/>
      <c r="AA101" s="1"/>
      <c r="AB101" s="1"/>
      <c r="AC101" s="1"/>
      <c r="AD101" s="1"/>
    </row>
    <row r="102" spans="1:50" s="15" customFormat="1" ht="18.75" x14ac:dyDescent="0.25">
      <c r="A102" s="99" t="s">
        <v>43</v>
      </c>
      <c r="B102" s="22" t="s">
        <v>9</v>
      </c>
      <c r="C102" s="22" t="s">
        <v>12</v>
      </c>
      <c r="D102" s="22" t="s">
        <v>12</v>
      </c>
      <c r="E102" s="22" t="s">
        <v>74</v>
      </c>
      <c r="F102" s="22" t="s">
        <v>22</v>
      </c>
      <c r="G102" s="22" t="s">
        <v>44</v>
      </c>
      <c r="H102" s="27"/>
      <c r="I102" s="35">
        <v>216000</v>
      </c>
      <c r="J102" s="100">
        <v>64800</v>
      </c>
      <c r="K102" s="34">
        <f>I102-J102</f>
        <v>151200</v>
      </c>
      <c r="L102" s="24"/>
      <c r="M102" s="182"/>
      <c r="N102" s="183"/>
      <c r="O102" s="30">
        <f t="shared" si="39"/>
        <v>0</v>
      </c>
      <c r="P102" s="31">
        <f>J102/I102*100</f>
        <v>30</v>
      </c>
      <c r="Q102" s="338"/>
      <c r="R102" s="339"/>
      <c r="Z102" s="1"/>
      <c r="AA102" s="1"/>
      <c r="AB102" s="1"/>
      <c r="AC102" s="1"/>
      <c r="AD102" s="1"/>
    </row>
    <row r="103" spans="1:50" ht="18.75" x14ac:dyDescent="0.25">
      <c r="A103" s="99" t="s">
        <v>113</v>
      </c>
      <c r="B103" s="22" t="s">
        <v>9</v>
      </c>
      <c r="C103" s="22" t="s">
        <v>12</v>
      </c>
      <c r="D103" s="22" t="s">
        <v>12</v>
      </c>
      <c r="E103" s="22" t="s">
        <v>74</v>
      </c>
      <c r="F103" s="22" t="s">
        <v>22</v>
      </c>
      <c r="G103" s="22" t="s">
        <v>114</v>
      </c>
      <c r="H103" s="22"/>
      <c r="I103" s="35">
        <v>167076</v>
      </c>
      <c r="J103" s="100">
        <v>0</v>
      </c>
      <c r="K103" s="34">
        <f>I103-J103</f>
        <v>167076</v>
      </c>
      <c r="L103" s="24" t="e">
        <f>#REF!</f>
        <v>#REF!</v>
      </c>
      <c r="M103" s="182"/>
      <c r="N103" s="183"/>
      <c r="O103" s="25">
        <f t="shared" si="39"/>
        <v>0</v>
      </c>
      <c r="P103" s="26">
        <f>J103/I103*100</f>
        <v>0</v>
      </c>
      <c r="Q103" s="331"/>
      <c r="R103" s="331"/>
    </row>
    <row r="104" spans="1:50" s="2" customFormat="1" ht="19.5" customHeight="1" x14ac:dyDescent="0.3">
      <c r="A104" s="333" t="s">
        <v>60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5"/>
      <c r="Q104" s="340"/>
      <c r="R104" s="340"/>
    </row>
    <row r="105" spans="1:50" ht="78" x14ac:dyDescent="0.25">
      <c r="A105" s="51" t="s">
        <v>8</v>
      </c>
      <c r="B105" s="52" t="s">
        <v>9</v>
      </c>
      <c r="C105" s="52"/>
      <c r="D105" s="52"/>
      <c r="E105" s="52"/>
      <c r="F105" s="52"/>
      <c r="G105" s="52"/>
      <c r="H105" s="52"/>
      <c r="I105" s="53">
        <f>I106+I120+I127+I132+I130+I137+I141+I144+I139</f>
        <v>783637.53</v>
      </c>
      <c r="J105" s="53">
        <f>J106+J120+J127+J132+J130+J144+J137+J141+J139</f>
        <v>136161.75</v>
      </c>
      <c r="K105" s="53">
        <f>K106+K120+K127+K132+K130+K137+K141+K144+K139</f>
        <v>647475.78</v>
      </c>
      <c r="L105" s="53" t="e">
        <f t="shared" ref="L105:N105" si="54">L106+L120</f>
        <v>#REF!</v>
      </c>
      <c r="M105" s="53" t="e">
        <f t="shared" si="54"/>
        <v>#REF!</v>
      </c>
      <c r="N105" s="53" t="e">
        <f t="shared" si="54"/>
        <v>#REF!</v>
      </c>
      <c r="O105" s="53">
        <f>I105-J105-K105</f>
        <v>0</v>
      </c>
      <c r="P105" s="54">
        <f t="shared" ref="P105:P120" si="55">J105/I105*100</f>
        <v>17.375603488515921</v>
      </c>
      <c r="Q105" s="331"/>
      <c r="R105" s="331"/>
    </row>
    <row r="106" spans="1:50" ht="19.5" x14ac:dyDescent="0.25">
      <c r="A106" s="173" t="s">
        <v>11</v>
      </c>
      <c r="B106" s="8" t="s">
        <v>9</v>
      </c>
      <c r="C106" s="8" t="s">
        <v>12</v>
      </c>
      <c r="D106" s="8"/>
      <c r="E106" s="8"/>
      <c r="F106" s="8"/>
      <c r="G106" s="8"/>
      <c r="H106" s="8"/>
      <c r="I106" s="9">
        <f>I107+I111+I114+I117+I109+I146</f>
        <v>542217.12</v>
      </c>
      <c r="J106" s="9">
        <f>J107+J111+J114+J117+J109+J146</f>
        <v>119589.6</v>
      </c>
      <c r="K106" s="9">
        <f>K107+K111+K114+K117+K109+K146</f>
        <v>422627.52</v>
      </c>
      <c r="L106" s="10" t="e">
        <f>L107+#REF!</f>
        <v>#REF!</v>
      </c>
      <c r="M106" s="197"/>
      <c r="N106" s="198"/>
      <c r="O106" s="11">
        <f>I106-J106-K106</f>
        <v>0</v>
      </c>
      <c r="P106" s="12">
        <f t="shared" si="55"/>
        <v>22.055666556600059</v>
      </c>
      <c r="Q106" s="331"/>
      <c r="R106" s="331"/>
    </row>
    <row r="107" spans="1:50" ht="120.75" customHeight="1" x14ac:dyDescent="0.25">
      <c r="A107" s="190" t="s">
        <v>61</v>
      </c>
      <c r="B107" s="41" t="s">
        <v>9</v>
      </c>
      <c r="C107" s="41" t="s">
        <v>12</v>
      </c>
      <c r="D107" s="41" t="s">
        <v>14</v>
      </c>
      <c r="E107" s="41" t="s">
        <v>62</v>
      </c>
      <c r="F107" s="41"/>
      <c r="G107" s="41"/>
      <c r="H107" s="41"/>
      <c r="I107" s="17">
        <f>I108</f>
        <v>13261.15</v>
      </c>
      <c r="J107" s="17">
        <f t="shared" ref="J107:L109" si="56">J108</f>
        <v>2319.4299999999998</v>
      </c>
      <c r="K107" s="17">
        <f t="shared" si="56"/>
        <v>10941.72</v>
      </c>
      <c r="L107" s="18" t="e">
        <f t="shared" si="56"/>
        <v>#REF!</v>
      </c>
      <c r="M107" s="186"/>
      <c r="N107" s="187"/>
      <c r="O107" s="20">
        <f>I107-J107-K107</f>
        <v>0</v>
      </c>
      <c r="P107" s="21">
        <f t="shared" si="55"/>
        <v>17.490413727316255</v>
      </c>
      <c r="Q107" s="331"/>
      <c r="R107" s="331"/>
      <c r="S107" s="15"/>
    </row>
    <row r="108" spans="1:50" ht="23.25" customHeight="1" x14ac:dyDescent="0.25">
      <c r="A108" s="99" t="s">
        <v>113</v>
      </c>
      <c r="B108" s="22" t="s">
        <v>9</v>
      </c>
      <c r="C108" s="22" t="s">
        <v>12</v>
      </c>
      <c r="D108" s="22" t="s">
        <v>14</v>
      </c>
      <c r="E108" s="43" t="s">
        <v>62</v>
      </c>
      <c r="F108" s="22" t="s">
        <v>63</v>
      </c>
      <c r="G108" s="22" t="s">
        <v>114</v>
      </c>
      <c r="H108" s="22"/>
      <c r="I108" s="35">
        <v>13261.15</v>
      </c>
      <c r="J108" s="100">
        <v>2319.4299999999998</v>
      </c>
      <c r="K108" s="34">
        <f>I108-J108</f>
        <v>10941.72</v>
      </c>
      <c r="L108" s="24" t="e">
        <f>#REF!</f>
        <v>#REF!</v>
      </c>
      <c r="M108" s="184"/>
      <c r="N108" s="185"/>
      <c r="O108" s="25">
        <f>I108-K108-J108</f>
        <v>0</v>
      </c>
      <c r="P108" s="26">
        <f t="shared" si="55"/>
        <v>17.490413727316255</v>
      </c>
      <c r="Q108" s="331"/>
      <c r="R108" s="331"/>
      <c r="Z108" s="15"/>
      <c r="AA108" s="15"/>
      <c r="AB108" s="15"/>
      <c r="AC108" s="15"/>
      <c r="AD108" s="15"/>
    </row>
    <row r="109" spans="1:50" ht="106.5" customHeight="1" x14ac:dyDescent="0.25">
      <c r="A109" s="190" t="s">
        <v>141</v>
      </c>
      <c r="B109" s="41" t="s">
        <v>9</v>
      </c>
      <c r="C109" s="41" t="s">
        <v>12</v>
      </c>
      <c r="D109" s="41" t="s">
        <v>14</v>
      </c>
      <c r="E109" s="41" t="s">
        <v>136</v>
      </c>
      <c r="F109" s="41"/>
      <c r="G109" s="41"/>
      <c r="H109" s="41"/>
      <c r="I109" s="17">
        <f>I110</f>
        <v>355955.97</v>
      </c>
      <c r="J109" s="17">
        <f t="shared" si="56"/>
        <v>31270.17</v>
      </c>
      <c r="K109" s="17">
        <f t="shared" si="56"/>
        <v>324685.8</v>
      </c>
      <c r="L109" s="18" t="e">
        <f t="shared" si="56"/>
        <v>#REF!</v>
      </c>
      <c r="M109" s="186"/>
      <c r="N109" s="187"/>
      <c r="O109" s="20">
        <f>I109-J109-K109</f>
        <v>0</v>
      </c>
      <c r="P109" s="21">
        <f t="shared" si="55"/>
        <v>8.7848421252774607</v>
      </c>
      <c r="Q109" s="331"/>
      <c r="R109" s="331"/>
      <c r="Z109" s="15"/>
      <c r="AA109" s="15"/>
      <c r="AB109" s="15"/>
      <c r="AC109" s="15"/>
      <c r="AD109" s="15"/>
    </row>
    <row r="110" spans="1:50" ht="23.25" customHeight="1" x14ac:dyDescent="0.25">
      <c r="A110" s="99" t="s">
        <v>113</v>
      </c>
      <c r="B110" s="22" t="s">
        <v>9</v>
      </c>
      <c r="C110" s="22" t="s">
        <v>12</v>
      </c>
      <c r="D110" s="22" t="s">
        <v>14</v>
      </c>
      <c r="E110" s="43" t="s">
        <v>136</v>
      </c>
      <c r="F110" s="22" t="s">
        <v>63</v>
      </c>
      <c r="G110" s="22" t="s">
        <v>114</v>
      </c>
      <c r="H110" s="22"/>
      <c r="I110" s="35">
        <v>355955.97</v>
      </c>
      <c r="J110" s="100">
        <v>31270.17</v>
      </c>
      <c r="K110" s="34">
        <f>I110-J110</f>
        <v>324685.8</v>
      </c>
      <c r="L110" s="24" t="e">
        <f>#REF!</f>
        <v>#REF!</v>
      </c>
      <c r="M110" s="184"/>
      <c r="N110" s="185"/>
      <c r="O110" s="25">
        <f>I110-K110-J110</f>
        <v>0</v>
      </c>
      <c r="P110" s="26">
        <f t="shared" si="55"/>
        <v>8.7848421252774607</v>
      </c>
      <c r="Q110" s="331"/>
      <c r="R110" s="331"/>
      <c r="Z110" s="15"/>
      <c r="AA110" s="15"/>
      <c r="AB110" s="15"/>
      <c r="AC110" s="15"/>
      <c r="AD110" s="15"/>
    </row>
    <row r="111" spans="1:50" s="2" customFormat="1" ht="80.25" customHeight="1" x14ac:dyDescent="0.25">
      <c r="A111" s="190" t="s">
        <v>117</v>
      </c>
      <c r="B111" s="41" t="s">
        <v>9</v>
      </c>
      <c r="C111" s="41" t="s">
        <v>12</v>
      </c>
      <c r="D111" s="41" t="s">
        <v>12</v>
      </c>
      <c r="E111" s="41" t="s">
        <v>90</v>
      </c>
      <c r="F111" s="41"/>
      <c r="G111" s="16"/>
      <c r="H111" s="16"/>
      <c r="I111" s="17">
        <f>I112+I113</f>
        <v>70000</v>
      </c>
      <c r="J111" s="17">
        <f t="shared" ref="J111:K111" si="57">J112+J113</f>
        <v>15000</v>
      </c>
      <c r="K111" s="17">
        <f t="shared" si="57"/>
        <v>55000</v>
      </c>
      <c r="L111" s="69"/>
      <c r="M111" s="186"/>
      <c r="N111" s="187"/>
      <c r="O111" s="20">
        <v>0</v>
      </c>
      <c r="P111" s="21">
        <f t="shared" si="55"/>
        <v>21.428571428571427</v>
      </c>
      <c r="Q111" s="331"/>
      <c r="R111" s="331"/>
      <c r="S111" s="1"/>
      <c r="T111" s="15"/>
      <c r="U111" s="15"/>
      <c r="V111" s="15"/>
      <c r="W111" s="15"/>
      <c r="X111" s="15"/>
      <c r="Y111" s="1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s="2" customFormat="1" ht="39.75" customHeight="1" x14ac:dyDescent="0.25">
      <c r="A112" s="175" t="s">
        <v>109</v>
      </c>
      <c r="B112" s="22" t="s">
        <v>9</v>
      </c>
      <c r="C112" s="22" t="s">
        <v>12</v>
      </c>
      <c r="D112" s="22" t="s">
        <v>12</v>
      </c>
      <c r="E112" s="43" t="s">
        <v>90</v>
      </c>
      <c r="F112" s="22" t="s">
        <v>63</v>
      </c>
      <c r="G112" s="22" t="s">
        <v>104</v>
      </c>
      <c r="H112" s="22"/>
      <c r="I112" s="35">
        <v>27000</v>
      </c>
      <c r="J112" s="100">
        <v>5000</v>
      </c>
      <c r="K112" s="35">
        <f>I112-J112</f>
        <v>22000</v>
      </c>
      <c r="L112" s="57"/>
      <c r="M112" s="188"/>
      <c r="N112" s="189"/>
      <c r="O112" s="25">
        <f>O113</f>
        <v>0</v>
      </c>
      <c r="P112" s="26">
        <f t="shared" si="55"/>
        <v>18.518518518518519</v>
      </c>
      <c r="Q112" s="331"/>
      <c r="R112" s="331"/>
      <c r="S112" s="1"/>
      <c r="T112" s="15"/>
      <c r="U112" s="15"/>
      <c r="V112" s="15"/>
      <c r="W112" s="15"/>
      <c r="X112" s="15"/>
      <c r="Y112" s="1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s="2" customFormat="1" ht="40.5" customHeight="1" x14ac:dyDescent="0.25">
      <c r="A113" s="175" t="s">
        <v>110</v>
      </c>
      <c r="B113" s="22" t="s">
        <v>9</v>
      </c>
      <c r="C113" s="22" t="s">
        <v>12</v>
      </c>
      <c r="D113" s="22" t="s">
        <v>12</v>
      </c>
      <c r="E113" s="43" t="s">
        <v>90</v>
      </c>
      <c r="F113" s="22" t="s">
        <v>63</v>
      </c>
      <c r="G113" s="22" t="s">
        <v>105</v>
      </c>
      <c r="H113" s="22"/>
      <c r="I113" s="35">
        <v>43000</v>
      </c>
      <c r="J113" s="100">
        <v>10000</v>
      </c>
      <c r="K113" s="35">
        <f>I113-J113</f>
        <v>33000</v>
      </c>
      <c r="L113" s="49"/>
      <c r="M113" s="188"/>
      <c r="N113" s="189"/>
      <c r="O113" s="25">
        <f>I113-J113-K113</f>
        <v>0</v>
      </c>
      <c r="P113" s="26">
        <f t="shared" si="55"/>
        <v>23.255813953488371</v>
      </c>
      <c r="Q113" s="331"/>
      <c r="R113" s="331"/>
      <c r="S113" s="1"/>
      <c r="T113" s="15"/>
      <c r="U113" s="15"/>
      <c r="V113" s="15"/>
      <c r="W113" s="15"/>
      <c r="X113" s="15"/>
      <c r="Y113" s="1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" customFormat="1" ht="91.5" customHeight="1" x14ac:dyDescent="0.25">
      <c r="A114" s="190" t="s">
        <v>118</v>
      </c>
      <c r="B114" s="41" t="s">
        <v>9</v>
      </c>
      <c r="C114" s="41" t="s">
        <v>12</v>
      </c>
      <c r="D114" s="41" t="s">
        <v>12</v>
      </c>
      <c r="E114" s="16" t="s">
        <v>115</v>
      </c>
      <c r="F114" s="41"/>
      <c r="G114" s="16"/>
      <c r="H114" s="16"/>
      <c r="I114" s="17">
        <f>I115+I116</f>
        <v>13000</v>
      </c>
      <c r="J114" s="17">
        <f t="shared" ref="J114:K114" si="58">J115+J116</f>
        <v>5000</v>
      </c>
      <c r="K114" s="17">
        <f t="shared" si="58"/>
        <v>8000</v>
      </c>
      <c r="L114" s="69"/>
      <c r="M114" s="186"/>
      <c r="N114" s="187"/>
      <c r="O114" s="20">
        <v>0</v>
      </c>
      <c r="P114" s="21">
        <f t="shared" si="55"/>
        <v>38.461538461538467</v>
      </c>
      <c r="Q114" s="331"/>
      <c r="R114" s="331"/>
      <c r="S114" s="1"/>
      <c r="T114" s="15"/>
      <c r="U114" s="15"/>
      <c r="V114" s="15"/>
      <c r="W114" s="15"/>
      <c r="X114" s="15"/>
      <c r="Y114" s="1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" customFormat="1" ht="39.75" customHeight="1" x14ac:dyDescent="0.25">
      <c r="A115" s="175" t="s">
        <v>109</v>
      </c>
      <c r="B115" s="22" t="s">
        <v>9</v>
      </c>
      <c r="C115" s="22" t="s">
        <v>12</v>
      </c>
      <c r="D115" s="22" t="s">
        <v>12</v>
      </c>
      <c r="E115" s="43" t="s">
        <v>115</v>
      </c>
      <c r="F115" s="22" t="s">
        <v>63</v>
      </c>
      <c r="G115" s="22" t="s">
        <v>104</v>
      </c>
      <c r="H115" s="22"/>
      <c r="I115" s="35">
        <v>10000</v>
      </c>
      <c r="J115" s="100">
        <v>2000</v>
      </c>
      <c r="K115" s="35">
        <f>I115-J115</f>
        <v>8000</v>
      </c>
      <c r="L115" s="57"/>
      <c r="M115" s="188"/>
      <c r="N115" s="189"/>
      <c r="O115" s="25">
        <f>O116</f>
        <v>0</v>
      </c>
      <c r="P115" s="26">
        <f t="shared" si="55"/>
        <v>20</v>
      </c>
      <c r="Q115" s="331"/>
      <c r="R115" s="331"/>
      <c r="S115" s="1"/>
      <c r="T115" s="15"/>
      <c r="U115" s="15"/>
      <c r="V115" s="15"/>
      <c r="W115" s="15"/>
      <c r="X115" s="15"/>
      <c r="Y115" s="1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" customFormat="1" ht="40.5" customHeight="1" x14ac:dyDescent="0.25">
      <c r="A116" s="175" t="s">
        <v>110</v>
      </c>
      <c r="B116" s="22" t="s">
        <v>9</v>
      </c>
      <c r="C116" s="22" t="s">
        <v>12</v>
      </c>
      <c r="D116" s="22" t="s">
        <v>12</v>
      </c>
      <c r="E116" s="43" t="s">
        <v>115</v>
      </c>
      <c r="F116" s="22" t="s">
        <v>63</v>
      </c>
      <c r="G116" s="22" t="s">
        <v>105</v>
      </c>
      <c r="H116" s="22"/>
      <c r="I116" s="35">
        <v>3000</v>
      </c>
      <c r="J116" s="100">
        <v>3000</v>
      </c>
      <c r="K116" s="35">
        <f>I116-J116</f>
        <v>0</v>
      </c>
      <c r="L116" s="49"/>
      <c r="M116" s="188"/>
      <c r="N116" s="189"/>
      <c r="O116" s="25">
        <f>I116-J116-K116</f>
        <v>0</v>
      </c>
      <c r="P116" s="26">
        <f t="shared" si="55"/>
        <v>100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88.5" customHeight="1" x14ac:dyDescent="0.25">
      <c r="A117" s="190" t="s">
        <v>119</v>
      </c>
      <c r="B117" s="41" t="s">
        <v>9</v>
      </c>
      <c r="C117" s="41" t="s">
        <v>12</v>
      </c>
      <c r="D117" s="41" t="s">
        <v>85</v>
      </c>
      <c r="E117" s="16" t="s">
        <v>116</v>
      </c>
      <c r="F117" s="41"/>
      <c r="G117" s="16"/>
      <c r="H117" s="16"/>
      <c r="I117" s="17">
        <f>I118+I119</f>
        <v>27000</v>
      </c>
      <c r="J117" s="17">
        <f t="shared" ref="J117:K117" si="59">J118+J119</f>
        <v>3000</v>
      </c>
      <c r="K117" s="17">
        <f t="shared" si="59"/>
        <v>24000</v>
      </c>
      <c r="L117" s="69"/>
      <c r="M117" s="186"/>
      <c r="N117" s="187"/>
      <c r="O117" s="20">
        <v>0</v>
      </c>
      <c r="P117" s="21">
        <f t="shared" si="55"/>
        <v>11.111111111111111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39.75" customHeight="1" x14ac:dyDescent="0.25">
      <c r="A118" s="175" t="s">
        <v>109</v>
      </c>
      <c r="B118" s="22" t="s">
        <v>9</v>
      </c>
      <c r="C118" s="22" t="s">
        <v>12</v>
      </c>
      <c r="D118" s="22" t="s">
        <v>85</v>
      </c>
      <c r="E118" s="43" t="s">
        <v>116</v>
      </c>
      <c r="F118" s="22" t="s">
        <v>63</v>
      </c>
      <c r="G118" s="22" t="s">
        <v>104</v>
      </c>
      <c r="H118" s="22"/>
      <c r="I118" s="35">
        <v>7000</v>
      </c>
      <c r="J118" s="100">
        <v>0</v>
      </c>
      <c r="K118" s="35">
        <f>I118-J118</f>
        <v>7000</v>
      </c>
      <c r="L118" s="57"/>
      <c r="M118" s="188"/>
      <c r="N118" s="189"/>
      <c r="O118" s="25">
        <f>O119</f>
        <v>0</v>
      </c>
      <c r="P118" s="26">
        <f t="shared" si="55"/>
        <v>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75" t="s">
        <v>110</v>
      </c>
      <c r="B119" s="22" t="s">
        <v>9</v>
      </c>
      <c r="C119" s="22" t="s">
        <v>12</v>
      </c>
      <c r="D119" s="22" t="s">
        <v>85</v>
      </c>
      <c r="E119" s="43" t="s">
        <v>116</v>
      </c>
      <c r="F119" s="22" t="s">
        <v>63</v>
      </c>
      <c r="G119" s="22" t="s">
        <v>105</v>
      </c>
      <c r="H119" s="22"/>
      <c r="I119" s="35">
        <v>20000</v>
      </c>
      <c r="J119" s="100">
        <v>3000</v>
      </c>
      <c r="K119" s="35">
        <f>I119-J119</f>
        <v>17000</v>
      </c>
      <c r="L119" s="49"/>
      <c r="M119" s="188"/>
      <c r="N119" s="189"/>
      <c r="O119" s="25">
        <f>I119-J119-K119</f>
        <v>0</v>
      </c>
      <c r="P119" s="26">
        <f t="shared" si="55"/>
        <v>15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59.25" customHeight="1" x14ac:dyDescent="0.25">
      <c r="A120" s="86" t="s">
        <v>67</v>
      </c>
      <c r="B120" s="41" t="s">
        <v>9</v>
      </c>
      <c r="C120" s="41" t="s">
        <v>68</v>
      </c>
      <c r="D120" s="41" t="s">
        <v>69</v>
      </c>
      <c r="E120" s="41" t="s">
        <v>70</v>
      </c>
      <c r="F120" s="41"/>
      <c r="G120" s="41"/>
      <c r="H120" s="41"/>
      <c r="I120" s="17">
        <f>I121+I123+I125+I126+I122+I124</f>
        <v>65000</v>
      </c>
      <c r="J120" s="17">
        <f>J121+J123+J125+J126+J122+J124</f>
        <v>15600</v>
      </c>
      <c r="K120" s="17">
        <f>K121+K123+K125+K126+K122+K124</f>
        <v>49400</v>
      </c>
      <c r="L120" s="17" t="e">
        <f>L121+#REF!+#REF!</f>
        <v>#REF!</v>
      </c>
      <c r="M120" s="17" t="e">
        <f>M121+#REF!+#REF!</f>
        <v>#REF!</v>
      </c>
      <c r="N120" s="17" t="e">
        <f>N121+#REF!+#REF!</f>
        <v>#REF!</v>
      </c>
      <c r="O120" s="89">
        <f>I120-J120-K120</f>
        <v>0</v>
      </c>
      <c r="P120" s="21">
        <f t="shared" si="55"/>
        <v>24</v>
      </c>
      <c r="Q120" s="331"/>
      <c r="R120" s="33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18.75" x14ac:dyDescent="0.25">
      <c r="A121" s="175" t="s">
        <v>43</v>
      </c>
      <c r="B121" s="22" t="s">
        <v>9</v>
      </c>
      <c r="C121" s="22" t="s">
        <v>68</v>
      </c>
      <c r="D121" s="22" t="s">
        <v>69</v>
      </c>
      <c r="E121" s="22" t="s">
        <v>70</v>
      </c>
      <c r="F121" s="22" t="s">
        <v>63</v>
      </c>
      <c r="G121" s="22" t="s">
        <v>44</v>
      </c>
      <c r="H121" s="22"/>
      <c r="I121" s="35">
        <v>15600</v>
      </c>
      <c r="J121" s="35">
        <v>15600</v>
      </c>
      <c r="K121" s="23">
        <f>I121-J121</f>
        <v>0</v>
      </c>
      <c r="L121" s="93"/>
      <c r="M121" s="188"/>
      <c r="N121" s="189"/>
      <c r="O121" s="25">
        <f>I121-J121-K121</f>
        <v>0</v>
      </c>
      <c r="P121" s="26">
        <f>J121/I121*100</f>
        <v>100</v>
      </c>
      <c r="Q121" s="331"/>
      <c r="R121" s="331"/>
      <c r="S121" s="15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18.75" x14ac:dyDescent="0.25">
      <c r="A122" s="175" t="s">
        <v>123</v>
      </c>
      <c r="B122" s="22" t="s">
        <v>9</v>
      </c>
      <c r="C122" s="22" t="s">
        <v>68</v>
      </c>
      <c r="D122" s="22" t="s">
        <v>69</v>
      </c>
      <c r="E122" s="22" t="s">
        <v>70</v>
      </c>
      <c r="F122" s="22" t="s">
        <v>63</v>
      </c>
      <c r="G122" s="22" t="s">
        <v>124</v>
      </c>
      <c r="H122" s="22"/>
      <c r="I122" s="35">
        <v>7500</v>
      </c>
      <c r="J122" s="100">
        <v>0</v>
      </c>
      <c r="K122" s="23">
        <f t="shared" ref="K122:K126" si="60">I122-J122</f>
        <v>7500</v>
      </c>
      <c r="L122" s="93"/>
      <c r="M122" s="188"/>
      <c r="N122" s="189"/>
      <c r="O122" s="25">
        <f t="shared" ref="O122:O134" si="61">I122-J122-K122</f>
        <v>0</v>
      </c>
      <c r="P122" s="26">
        <f>J122/I122*100</f>
        <v>0</v>
      </c>
      <c r="Q122" s="338"/>
      <c r="R122" s="339"/>
      <c r="S122" s="15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7.5" x14ac:dyDescent="0.25">
      <c r="A123" s="175" t="s">
        <v>106</v>
      </c>
      <c r="B123" s="22" t="s">
        <v>9</v>
      </c>
      <c r="C123" s="22" t="s">
        <v>68</v>
      </c>
      <c r="D123" s="22" t="s">
        <v>69</v>
      </c>
      <c r="E123" s="22" t="s">
        <v>70</v>
      </c>
      <c r="F123" s="22" t="s">
        <v>63</v>
      </c>
      <c r="G123" s="22" t="s">
        <v>101</v>
      </c>
      <c r="H123" s="22"/>
      <c r="I123" s="35">
        <v>2500</v>
      </c>
      <c r="J123" s="100">
        <v>0</v>
      </c>
      <c r="K123" s="23">
        <f t="shared" si="60"/>
        <v>2500</v>
      </c>
      <c r="L123" s="93"/>
      <c r="M123" s="188"/>
      <c r="N123" s="189"/>
      <c r="O123" s="25">
        <f t="shared" si="61"/>
        <v>0</v>
      </c>
      <c r="P123" s="26">
        <v>0</v>
      </c>
      <c r="Q123" s="331"/>
      <c r="R123" s="33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18.75" x14ac:dyDescent="0.25">
      <c r="A124" s="175" t="s">
        <v>108</v>
      </c>
      <c r="B124" s="22" t="s">
        <v>9</v>
      </c>
      <c r="C124" s="22" t="s">
        <v>68</v>
      </c>
      <c r="D124" s="22" t="s">
        <v>69</v>
      </c>
      <c r="E124" s="22" t="s">
        <v>70</v>
      </c>
      <c r="F124" s="22" t="s">
        <v>63</v>
      </c>
      <c r="G124" s="22" t="s">
        <v>103</v>
      </c>
      <c r="H124" s="22"/>
      <c r="I124" s="35">
        <v>9400</v>
      </c>
      <c r="J124" s="100">
        <v>0</v>
      </c>
      <c r="K124" s="23">
        <f t="shared" si="60"/>
        <v>9400</v>
      </c>
      <c r="L124" s="93"/>
      <c r="M124" s="188"/>
      <c r="N124" s="189"/>
      <c r="O124" s="25">
        <f t="shared" si="61"/>
        <v>0</v>
      </c>
      <c r="P124" s="26"/>
      <c r="Q124" s="204"/>
      <c r="R124" s="20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37.5" customHeight="1" x14ac:dyDescent="0.25">
      <c r="A125" s="175" t="s">
        <v>109</v>
      </c>
      <c r="B125" s="22" t="s">
        <v>9</v>
      </c>
      <c r="C125" s="22" t="s">
        <v>68</v>
      </c>
      <c r="D125" s="22" t="s">
        <v>69</v>
      </c>
      <c r="E125" s="22" t="s">
        <v>70</v>
      </c>
      <c r="F125" s="22" t="s">
        <v>63</v>
      </c>
      <c r="G125" s="22" t="s">
        <v>104</v>
      </c>
      <c r="H125" s="22"/>
      <c r="I125" s="35">
        <v>20000</v>
      </c>
      <c r="J125" s="100">
        <v>0</v>
      </c>
      <c r="K125" s="23">
        <f t="shared" si="60"/>
        <v>20000</v>
      </c>
      <c r="L125" s="93"/>
      <c r="M125" s="188"/>
      <c r="N125" s="189"/>
      <c r="O125" s="25">
        <f t="shared" si="61"/>
        <v>0</v>
      </c>
      <c r="P125" s="26">
        <v>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37.5" x14ac:dyDescent="0.25">
      <c r="A126" s="175" t="s">
        <v>110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105</v>
      </c>
      <c r="H126" s="22"/>
      <c r="I126" s="35">
        <v>10000</v>
      </c>
      <c r="J126" s="100">
        <v>0</v>
      </c>
      <c r="K126" s="23">
        <f t="shared" si="60"/>
        <v>10000</v>
      </c>
      <c r="L126" s="93"/>
      <c r="M126" s="188"/>
      <c r="N126" s="189"/>
      <c r="O126" s="25">
        <f t="shared" si="61"/>
        <v>0</v>
      </c>
      <c r="P126" s="26">
        <f t="shared" ref="P126:P147" si="62">J126/I126*100</f>
        <v>0</v>
      </c>
      <c r="Q126" s="331"/>
      <c r="R126" s="33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82.5" hidden="1" customHeight="1" x14ac:dyDescent="0.25">
      <c r="A127" s="190" t="s">
        <v>125</v>
      </c>
      <c r="B127" s="41" t="s">
        <v>9</v>
      </c>
      <c r="C127" s="41" t="s">
        <v>12</v>
      </c>
      <c r="D127" s="41" t="s">
        <v>12</v>
      </c>
      <c r="E127" s="41" t="s">
        <v>126</v>
      </c>
      <c r="F127" s="41"/>
      <c r="G127" s="16"/>
      <c r="H127" s="16"/>
      <c r="I127" s="17">
        <f>I128+I129</f>
        <v>0</v>
      </c>
      <c r="J127" s="17">
        <f t="shared" ref="J127:K127" si="63">J128+J129</f>
        <v>0</v>
      </c>
      <c r="K127" s="17">
        <f t="shared" si="63"/>
        <v>0</v>
      </c>
      <c r="L127" s="69"/>
      <c r="M127" s="186"/>
      <c r="N127" s="187"/>
      <c r="O127" s="20">
        <f t="shared" si="61"/>
        <v>0</v>
      </c>
      <c r="P127" s="21" t="e">
        <f t="shared" si="62"/>
        <v>#DIV/0!</v>
      </c>
      <c r="Q127" s="321"/>
      <c r="R127" s="32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18.75" hidden="1" x14ac:dyDescent="0.25">
      <c r="A128" s="175" t="s">
        <v>27</v>
      </c>
      <c r="B128" s="22" t="s">
        <v>9</v>
      </c>
      <c r="C128" s="22" t="s">
        <v>12</v>
      </c>
      <c r="D128" s="22" t="s">
        <v>12</v>
      </c>
      <c r="E128" s="43" t="s">
        <v>126</v>
      </c>
      <c r="F128" s="22" t="s">
        <v>63</v>
      </c>
      <c r="G128" s="22" t="s">
        <v>28</v>
      </c>
      <c r="H128" s="22"/>
      <c r="I128" s="121">
        <v>0</v>
      </c>
      <c r="J128" s="122">
        <v>0</v>
      </c>
      <c r="K128" s="35">
        <f>I128-J128</f>
        <v>0</v>
      </c>
      <c r="L128" s="57"/>
      <c r="M128" s="188"/>
      <c r="N128" s="189"/>
      <c r="O128" s="25">
        <f t="shared" si="61"/>
        <v>0</v>
      </c>
      <c r="P128" s="26" t="e">
        <f t="shared" si="62"/>
        <v>#DIV/0!</v>
      </c>
      <c r="Q128" s="325"/>
      <c r="R128" s="326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hidden="1" x14ac:dyDescent="0.25">
      <c r="A129" s="99" t="s">
        <v>31</v>
      </c>
      <c r="B129" s="22" t="s">
        <v>9</v>
      </c>
      <c r="C129" s="22" t="s">
        <v>12</v>
      </c>
      <c r="D129" s="22" t="s">
        <v>12</v>
      </c>
      <c r="E129" s="43" t="s">
        <v>126</v>
      </c>
      <c r="F129" s="22" t="s">
        <v>63</v>
      </c>
      <c r="G129" s="22" t="s">
        <v>32</v>
      </c>
      <c r="H129" s="22"/>
      <c r="I129" s="121">
        <v>0</v>
      </c>
      <c r="J129" s="122">
        <v>0</v>
      </c>
      <c r="K129" s="35">
        <f>I129-J129</f>
        <v>0</v>
      </c>
      <c r="L129" s="49"/>
      <c r="M129" s="188"/>
      <c r="N129" s="189"/>
      <c r="O129" s="25">
        <f t="shared" si="61"/>
        <v>0</v>
      </c>
      <c r="P129" s="26" t="e">
        <f t="shared" si="62"/>
        <v>#DIV/0!</v>
      </c>
      <c r="Q129" s="323"/>
      <c r="R129" s="32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65.25" customHeight="1" x14ac:dyDescent="0.25">
      <c r="A130" s="199" t="s">
        <v>142</v>
      </c>
      <c r="B130" s="104" t="s">
        <v>9</v>
      </c>
      <c r="C130" s="104" t="s">
        <v>68</v>
      </c>
      <c r="D130" s="104" t="s">
        <v>14</v>
      </c>
      <c r="E130" s="104" t="s">
        <v>137</v>
      </c>
      <c r="F130" s="104"/>
      <c r="G130" s="105"/>
      <c r="H130" s="105"/>
      <c r="I130" s="17">
        <f>I131</f>
        <v>40000</v>
      </c>
      <c r="J130" s="17">
        <f t="shared" ref="J130:K130" si="64">J131</f>
        <v>0</v>
      </c>
      <c r="K130" s="17">
        <f t="shared" si="64"/>
        <v>40000</v>
      </c>
      <c r="L130" s="115"/>
      <c r="M130" s="195"/>
      <c r="N130" s="196"/>
      <c r="O130" s="20">
        <f>I130-J130-K130</f>
        <v>0</v>
      </c>
      <c r="P130" s="21">
        <f t="shared" si="62"/>
        <v>0</v>
      </c>
      <c r="Q130" s="321"/>
      <c r="R130" s="32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21" customHeight="1" x14ac:dyDescent="0.25">
      <c r="A131" s="175" t="s">
        <v>109</v>
      </c>
      <c r="B131" s="112" t="s">
        <v>9</v>
      </c>
      <c r="C131" s="112" t="s">
        <v>68</v>
      </c>
      <c r="D131" s="112" t="s">
        <v>14</v>
      </c>
      <c r="E131" s="113" t="s">
        <v>137</v>
      </c>
      <c r="F131" s="112" t="s">
        <v>63</v>
      </c>
      <c r="G131" s="112" t="s">
        <v>104</v>
      </c>
      <c r="H131" s="112"/>
      <c r="I131" s="35">
        <v>40000</v>
      </c>
      <c r="J131" s="100">
        <v>0</v>
      </c>
      <c r="K131" s="35">
        <f t="shared" ref="K131:K133" si="65">I131-J131</f>
        <v>40000</v>
      </c>
      <c r="L131" s="114"/>
      <c r="M131" s="188"/>
      <c r="N131" s="189"/>
      <c r="O131" s="25">
        <f t="shared" si="61"/>
        <v>0</v>
      </c>
      <c r="P131" s="26">
        <f t="shared" si="62"/>
        <v>0</v>
      </c>
      <c r="Q131" s="323"/>
      <c r="R131" s="3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60" hidden="1" customHeight="1" x14ac:dyDescent="0.25">
      <c r="A132" s="199" t="s">
        <v>143</v>
      </c>
      <c r="B132" s="104" t="s">
        <v>9</v>
      </c>
      <c r="C132" s="104" t="s">
        <v>12</v>
      </c>
      <c r="D132" s="104" t="s">
        <v>14</v>
      </c>
      <c r="E132" s="104" t="s">
        <v>138</v>
      </c>
      <c r="F132" s="104"/>
      <c r="G132" s="104"/>
      <c r="H132" s="104"/>
      <c r="I132" s="106">
        <f>I133</f>
        <v>0</v>
      </c>
      <c r="J132" s="106">
        <f t="shared" ref="J132:K132" si="66">J133</f>
        <v>0</v>
      </c>
      <c r="K132" s="106">
        <f t="shared" si="66"/>
        <v>0</v>
      </c>
      <c r="L132" s="115"/>
      <c r="M132" s="195"/>
      <c r="N132" s="196"/>
      <c r="O132" s="20">
        <f>I132-J132-K132</f>
        <v>0</v>
      </c>
      <c r="P132" s="21" t="e">
        <f t="shared" si="62"/>
        <v>#DIV/0!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27.75" hidden="1" customHeight="1" x14ac:dyDescent="0.25">
      <c r="A133" s="99" t="s">
        <v>47</v>
      </c>
      <c r="B133" s="112" t="s">
        <v>9</v>
      </c>
      <c r="C133" s="112" t="s">
        <v>12</v>
      </c>
      <c r="D133" s="112" t="s">
        <v>14</v>
      </c>
      <c r="E133" s="113" t="s">
        <v>138</v>
      </c>
      <c r="F133" s="112" t="s">
        <v>63</v>
      </c>
      <c r="G133" s="112" t="s">
        <v>48</v>
      </c>
      <c r="H133" s="112"/>
      <c r="I133" s="118">
        <v>0</v>
      </c>
      <c r="J133" s="158">
        <v>0</v>
      </c>
      <c r="K133" s="118">
        <f t="shared" si="65"/>
        <v>0</v>
      </c>
      <c r="L133" s="114"/>
      <c r="M133" s="188"/>
      <c r="N133" s="189"/>
      <c r="O133" s="119">
        <f t="shared" si="61"/>
        <v>0</v>
      </c>
      <c r="P133" s="120" t="e">
        <f t="shared" si="62"/>
        <v>#DIV/0!</v>
      </c>
      <c r="Q133" s="323"/>
      <c r="R133" s="3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82.5" hidden="1" customHeight="1" x14ac:dyDescent="0.25">
      <c r="A134" s="190" t="s">
        <v>127</v>
      </c>
      <c r="B134" s="104" t="s">
        <v>9</v>
      </c>
      <c r="C134" s="104" t="s">
        <v>12</v>
      </c>
      <c r="D134" s="104" t="s">
        <v>85</v>
      </c>
      <c r="E134" s="104" t="s">
        <v>86</v>
      </c>
      <c r="F134" s="104"/>
      <c r="G134" s="105"/>
      <c r="H134" s="105"/>
      <c r="I134" s="106">
        <f>I135+I136</f>
        <v>0</v>
      </c>
      <c r="J134" s="106">
        <f>J135+J136</f>
        <v>0</v>
      </c>
      <c r="K134" s="106">
        <f>K135+K136</f>
        <v>0</v>
      </c>
      <c r="L134" s="106">
        <f t="shared" ref="L134:N134" si="67">L135</f>
        <v>0</v>
      </c>
      <c r="M134" s="106">
        <f t="shared" si="67"/>
        <v>0</v>
      </c>
      <c r="N134" s="106">
        <f t="shared" si="67"/>
        <v>0</v>
      </c>
      <c r="O134" s="107">
        <f t="shared" si="61"/>
        <v>0</v>
      </c>
      <c r="P134" s="108" t="e">
        <f t="shared" si="62"/>
        <v>#DIV/0!</v>
      </c>
      <c r="Q134" s="321"/>
      <c r="R134" s="3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18.75" hidden="1" x14ac:dyDescent="0.25">
      <c r="A135" s="175" t="s">
        <v>41</v>
      </c>
      <c r="B135" s="22" t="s">
        <v>9</v>
      </c>
      <c r="C135" s="22" t="s">
        <v>12</v>
      </c>
      <c r="D135" s="22" t="s">
        <v>85</v>
      </c>
      <c r="E135" s="22" t="s">
        <v>86</v>
      </c>
      <c r="F135" s="22" t="s">
        <v>63</v>
      </c>
      <c r="G135" s="22" t="s">
        <v>42</v>
      </c>
      <c r="H135" s="22"/>
      <c r="I135" s="121"/>
      <c r="J135" s="121"/>
      <c r="K135" s="23">
        <f>I135-J135</f>
        <v>0</v>
      </c>
      <c r="L135" s="109"/>
      <c r="M135" s="110"/>
      <c r="N135" s="111"/>
      <c r="O135" s="25">
        <f>I135-J135-K135</f>
        <v>0</v>
      </c>
      <c r="P135" s="26" t="e">
        <f t="shared" si="62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18.75" hidden="1" x14ac:dyDescent="0.25">
      <c r="A136" s="99" t="s">
        <v>47</v>
      </c>
      <c r="B136" s="22" t="s">
        <v>9</v>
      </c>
      <c r="C136" s="22" t="s">
        <v>12</v>
      </c>
      <c r="D136" s="22" t="s">
        <v>85</v>
      </c>
      <c r="E136" s="22" t="s">
        <v>86</v>
      </c>
      <c r="F136" s="22" t="s">
        <v>63</v>
      </c>
      <c r="G136" s="22" t="s">
        <v>48</v>
      </c>
      <c r="H136" s="22"/>
      <c r="I136" s="121"/>
      <c r="J136" s="121">
        <v>0</v>
      </c>
      <c r="K136" s="23">
        <f>I136-J136</f>
        <v>0</v>
      </c>
      <c r="L136" s="109"/>
      <c r="M136" s="110"/>
      <c r="N136" s="111"/>
      <c r="O136" s="25">
        <f t="shared" ref="O136" si="68">I136-J136-K136</f>
        <v>0</v>
      </c>
      <c r="P136" s="26" t="e">
        <f t="shared" si="62"/>
        <v>#DIV/0!</v>
      </c>
      <c r="Q136" s="208"/>
      <c r="R136" s="209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60" hidden="1" customHeight="1" x14ac:dyDescent="0.25">
      <c r="A137" s="40" t="s">
        <v>139</v>
      </c>
      <c r="B137" s="104" t="s">
        <v>9</v>
      </c>
      <c r="C137" s="104" t="s">
        <v>12</v>
      </c>
      <c r="D137" s="104" t="s">
        <v>14</v>
      </c>
      <c r="E137" s="104" t="s">
        <v>135</v>
      </c>
      <c r="F137" s="104"/>
      <c r="G137" s="104"/>
      <c r="H137" s="104"/>
      <c r="I137" s="106">
        <f>I138</f>
        <v>0</v>
      </c>
      <c r="J137" s="106">
        <f t="shared" ref="J137:K137" si="69">J138</f>
        <v>0</v>
      </c>
      <c r="K137" s="106">
        <f t="shared" si="69"/>
        <v>0</v>
      </c>
      <c r="L137" s="115"/>
      <c r="M137" s="195"/>
      <c r="N137" s="196"/>
      <c r="O137" s="20">
        <f>I137-J137-K137</f>
        <v>0</v>
      </c>
      <c r="P137" s="21" t="e">
        <f t="shared" si="62"/>
        <v>#DIV/0!</v>
      </c>
      <c r="Q137" s="321"/>
      <c r="R137" s="32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27.75" hidden="1" customHeight="1" x14ac:dyDescent="0.25">
      <c r="A138" s="99" t="s">
        <v>47</v>
      </c>
      <c r="B138" s="112" t="s">
        <v>9</v>
      </c>
      <c r="C138" s="112" t="s">
        <v>12</v>
      </c>
      <c r="D138" s="112" t="s">
        <v>14</v>
      </c>
      <c r="E138" s="105" t="s">
        <v>144</v>
      </c>
      <c r="F138" s="112" t="s">
        <v>63</v>
      </c>
      <c r="G138" s="112" t="s">
        <v>48</v>
      </c>
      <c r="H138" s="112"/>
      <c r="I138" s="123">
        <v>0</v>
      </c>
      <c r="J138" s="124">
        <v>0</v>
      </c>
      <c r="K138" s="118">
        <f t="shared" ref="K138" si="70">I138-J138</f>
        <v>0</v>
      </c>
      <c r="L138" s="114"/>
      <c r="M138" s="188"/>
      <c r="N138" s="189"/>
      <c r="O138" s="119">
        <f t="shared" ref="O138:O140" si="71">I138-J138-K138</f>
        <v>0</v>
      </c>
      <c r="P138" s="120" t="e">
        <f t="shared" si="62"/>
        <v>#DIV/0!</v>
      </c>
      <c r="Q138" s="323"/>
      <c r="R138" s="32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16.25" customHeight="1" x14ac:dyDescent="0.25">
      <c r="A139" s="190" t="s">
        <v>154</v>
      </c>
      <c r="B139" s="41" t="s">
        <v>9</v>
      </c>
      <c r="C139" s="41" t="s">
        <v>12</v>
      </c>
      <c r="D139" s="41" t="s">
        <v>14</v>
      </c>
      <c r="E139" s="41" t="s">
        <v>155</v>
      </c>
      <c r="F139" s="41"/>
      <c r="G139" s="41"/>
      <c r="H139" s="41"/>
      <c r="I139" s="56">
        <f>I140</f>
        <v>6420.41</v>
      </c>
      <c r="J139" s="55">
        <f>J140</f>
        <v>972.15</v>
      </c>
      <c r="K139" s="55">
        <f>I139-J139</f>
        <v>5448.26</v>
      </c>
      <c r="L139" s="18" t="e">
        <f>L140</f>
        <v>#REF!</v>
      </c>
      <c r="M139" s="186"/>
      <c r="N139" s="187"/>
      <c r="O139" s="20">
        <f t="shared" si="71"/>
        <v>0</v>
      </c>
      <c r="P139" s="21">
        <f>J139/I139*100</f>
        <v>15.141556380355773</v>
      </c>
      <c r="Q139" s="331"/>
      <c r="R139" s="331"/>
      <c r="S139" s="15"/>
    </row>
    <row r="140" spans="1:50" ht="18.75" x14ac:dyDescent="0.25">
      <c r="A140" s="99" t="s">
        <v>113</v>
      </c>
      <c r="B140" s="22" t="s">
        <v>9</v>
      </c>
      <c r="C140" s="22" t="s">
        <v>12</v>
      </c>
      <c r="D140" s="22" t="s">
        <v>14</v>
      </c>
      <c r="E140" s="22" t="s">
        <v>155</v>
      </c>
      <c r="F140" s="22" t="s">
        <v>63</v>
      </c>
      <c r="G140" s="22" t="s">
        <v>114</v>
      </c>
      <c r="H140" s="22"/>
      <c r="I140" s="35">
        <v>6420.41</v>
      </c>
      <c r="J140" s="100">
        <v>972.15</v>
      </c>
      <c r="K140" s="34">
        <f>I140-J140</f>
        <v>5448.26</v>
      </c>
      <c r="L140" s="24" t="e">
        <f>#REF!</f>
        <v>#REF!</v>
      </c>
      <c r="M140" s="184"/>
      <c r="N140" s="185"/>
      <c r="O140" s="25">
        <f t="shared" si="71"/>
        <v>0</v>
      </c>
      <c r="P140" s="26">
        <f>J140/I140*100</f>
        <v>15.141556380355773</v>
      </c>
      <c r="Q140" s="331"/>
      <c r="R140" s="331"/>
      <c r="Z140" s="15"/>
      <c r="AA140" s="15"/>
      <c r="AB140" s="15"/>
      <c r="AC140" s="15"/>
      <c r="AD140" s="15"/>
    </row>
    <row r="141" spans="1:50" s="2" customFormat="1" ht="60" customHeight="1" x14ac:dyDescent="0.25">
      <c r="A141" s="199" t="s">
        <v>145</v>
      </c>
      <c r="B141" s="104" t="s">
        <v>9</v>
      </c>
      <c r="C141" s="104" t="s">
        <v>12</v>
      </c>
      <c r="D141" s="104" t="s">
        <v>12</v>
      </c>
      <c r="E141" s="104" t="s">
        <v>126</v>
      </c>
      <c r="F141" s="104"/>
      <c r="G141" s="104"/>
      <c r="H141" s="104"/>
      <c r="I141" s="106">
        <f>I142+I143</f>
        <v>130000</v>
      </c>
      <c r="J141" s="106">
        <f>J143+J142</f>
        <v>0</v>
      </c>
      <c r="K141" s="106">
        <f>K143+K142</f>
        <v>130000</v>
      </c>
      <c r="L141" s="115"/>
      <c r="M141" s="195"/>
      <c r="N141" s="196"/>
      <c r="O141" s="20">
        <f>I141-J141-K141</f>
        <v>0</v>
      </c>
      <c r="P141" s="21">
        <f t="shared" si="62"/>
        <v>0</v>
      </c>
      <c r="Q141" s="321"/>
      <c r="R141" s="32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33" customHeight="1" x14ac:dyDescent="0.25">
      <c r="A142" s="194" t="s">
        <v>27</v>
      </c>
      <c r="B142" s="112" t="s">
        <v>9</v>
      </c>
      <c r="C142" s="112" t="s">
        <v>12</v>
      </c>
      <c r="D142" s="112" t="s">
        <v>12</v>
      </c>
      <c r="E142" s="112" t="s">
        <v>126</v>
      </c>
      <c r="F142" s="112" t="s">
        <v>63</v>
      </c>
      <c r="G142" s="112" t="s">
        <v>28</v>
      </c>
      <c r="H142" s="129"/>
      <c r="I142" s="116">
        <v>99846.39</v>
      </c>
      <c r="J142" s="117">
        <v>0</v>
      </c>
      <c r="K142" s="116">
        <f>I142-J142</f>
        <v>99846.39</v>
      </c>
      <c r="L142" s="131"/>
      <c r="M142" s="184"/>
      <c r="N142" s="185"/>
      <c r="O142" s="119">
        <f t="shared" ref="O142:O143" si="72">I142-J142-K142</f>
        <v>0</v>
      </c>
      <c r="P142" s="120">
        <f t="shared" si="62"/>
        <v>0</v>
      </c>
      <c r="Q142" s="325"/>
      <c r="R142" s="326"/>
    </row>
    <row r="143" spans="1:50" s="2" customFormat="1" ht="27.75" customHeight="1" x14ac:dyDescent="0.25">
      <c r="A143" s="175" t="s">
        <v>31</v>
      </c>
      <c r="B143" s="112" t="s">
        <v>9</v>
      </c>
      <c r="C143" s="112" t="s">
        <v>12</v>
      </c>
      <c r="D143" s="112" t="s">
        <v>12</v>
      </c>
      <c r="E143" s="112" t="s">
        <v>126</v>
      </c>
      <c r="F143" s="112" t="s">
        <v>63</v>
      </c>
      <c r="G143" s="112" t="s">
        <v>32</v>
      </c>
      <c r="H143" s="112"/>
      <c r="I143" s="116">
        <v>30153.61</v>
      </c>
      <c r="J143" s="117">
        <v>0</v>
      </c>
      <c r="K143" s="116">
        <f>I143-J143</f>
        <v>30153.61</v>
      </c>
      <c r="L143" s="131"/>
      <c r="M143" s="182"/>
      <c r="N143" s="183"/>
      <c r="O143" s="119">
        <f t="shared" si="72"/>
        <v>0</v>
      </c>
      <c r="P143" s="120">
        <f t="shared" si="62"/>
        <v>0</v>
      </c>
      <c r="Q143" s="323"/>
      <c r="R143" s="32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60" hidden="1" customHeight="1" x14ac:dyDescent="0.25">
      <c r="A144" s="199" t="s">
        <v>148</v>
      </c>
      <c r="B144" s="104" t="s">
        <v>9</v>
      </c>
      <c r="C144" s="104" t="s">
        <v>12</v>
      </c>
      <c r="D144" s="104" t="s">
        <v>85</v>
      </c>
      <c r="E144" s="104" t="s">
        <v>147</v>
      </c>
      <c r="F144" s="104"/>
      <c r="G144" s="104"/>
      <c r="H144" s="104"/>
      <c r="I144" s="106">
        <f>I145</f>
        <v>0</v>
      </c>
      <c r="J144" s="106">
        <f t="shared" ref="J144:K146" si="73">J145</f>
        <v>0</v>
      </c>
      <c r="K144" s="106">
        <f t="shared" si="73"/>
        <v>0</v>
      </c>
      <c r="L144" s="115"/>
      <c r="M144" s="195"/>
      <c r="N144" s="196"/>
      <c r="O144" s="20">
        <f>I144-J144-K144</f>
        <v>0</v>
      </c>
      <c r="P144" s="21" t="e">
        <f t="shared" si="62"/>
        <v>#DIV/0!</v>
      </c>
      <c r="Q144" s="321"/>
      <c r="R144" s="32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s="2" customFormat="1" ht="27.75" hidden="1" customHeight="1" x14ac:dyDescent="0.25">
      <c r="A145" s="99" t="s">
        <v>43</v>
      </c>
      <c r="B145" s="112" t="s">
        <v>9</v>
      </c>
      <c r="C145" s="112" t="s">
        <v>12</v>
      </c>
      <c r="D145" s="112" t="s">
        <v>85</v>
      </c>
      <c r="E145" s="105" t="s">
        <v>147</v>
      </c>
      <c r="F145" s="112" t="s">
        <v>63</v>
      </c>
      <c r="G145" s="112" t="s">
        <v>44</v>
      </c>
      <c r="H145" s="112"/>
      <c r="I145" s="118">
        <v>0</v>
      </c>
      <c r="J145" s="158">
        <v>0</v>
      </c>
      <c r="K145" s="118">
        <f t="shared" ref="K145" si="74">I145-J145</f>
        <v>0</v>
      </c>
      <c r="L145" s="114"/>
      <c r="M145" s="188"/>
      <c r="N145" s="189"/>
      <c r="O145" s="119">
        <f t="shared" ref="O145" si="75">I145-J145-K145</f>
        <v>0</v>
      </c>
      <c r="P145" s="120" t="e">
        <f t="shared" si="62"/>
        <v>#DIV/0!</v>
      </c>
      <c r="Q145" s="323"/>
      <c r="R145" s="3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" customFormat="1" ht="41.25" customHeight="1" x14ac:dyDescent="0.25">
      <c r="A146" s="199" t="s">
        <v>161</v>
      </c>
      <c r="B146" s="104" t="s">
        <v>9</v>
      </c>
      <c r="C146" s="104" t="s">
        <v>12</v>
      </c>
      <c r="D146" s="104" t="s">
        <v>85</v>
      </c>
      <c r="E146" s="104" t="s">
        <v>162</v>
      </c>
      <c r="F146" s="104" t="s">
        <v>63</v>
      </c>
      <c r="G146" s="104" t="s">
        <v>44</v>
      </c>
      <c r="H146" s="104"/>
      <c r="I146" s="106">
        <f>I147</f>
        <v>63000</v>
      </c>
      <c r="J146" s="106">
        <f t="shared" si="73"/>
        <v>63000</v>
      </c>
      <c r="K146" s="106">
        <f t="shared" si="73"/>
        <v>0</v>
      </c>
      <c r="L146" s="115"/>
      <c r="M146" s="195"/>
      <c r="N146" s="196"/>
      <c r="O146" s="20">
        <f>I146-J146-K146</f>
        <v>0</v>
      </c>
      <c r="P146" s="21">
        <f t="shared" si="62"/>
        <v>100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" customFormat="1" ht="27.75" customHeight="1" x14ac:dyDescent="0.25">
      <c r="A147" s="99" t="s">
        <v>43</v>
      </c>
      <c r="B147" s="112" t="s">
        <v>9</v>
      </c>
      <c r="C147" s="112" t="s">
        <v>12</v>
      </c>
      <c r="D147" s="112" t="s">
        <v>85</v>
      </c>
      <c r="E147" s="113" t="s">
        <v>162</v>
      </c>
      <c r="F147" s="112" t="s">
        <v>63</v>
      </c>
      <c r="G147" s="112" t="s">
        <v>42</v>
      </c>
      <c r="H147" s="112"/>
      <c r="I147" s="118">
        <v>63000</v>
      </c>
      <c r="J147" s="158">
        <v>63000</v>
      </c>
      <c r="K147" s="118">
        <f t="shared" ref="K147" si="76">I147-J147</f>
        <v>0</v>
      </c>
      <c r="L147" s="114"/>
      <c r="M147" s="188"/>
      <c r="N147" s="189"/>
      <c r="O147" s="119">
        <f>I147-J147-K147</f>
        <v>0</v>
      </c>
      <c r="P147" s="120">
        <f t="shared" si="62"/>
        <v>100</v>
      </c>
      <c r="Q147" s="323"/>
      <c r="R147" s="3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2" customFormat="1" ht="22.5" customHeight="1" x14ac:dyDescent="0.3">
      <c r="A148" s="333" t="s">
        <v>71</v>
      </c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5"/>
      <c r="Q148" s="336"/>
      <c r="R148" s="337"/>
    </row>
    <row r="149" spans="1:50" ht="78" x14ac:dyDescent="0.25">
      <c r="A149" s="51" t="s">
        <v>8</v>
      </c>
      <c r="B149" s="52" t="s">
        <v>9</v>
      </c>
      <c r="C149" s="52"/>
      <c r="D149" s="52"/>
      <c r="E149" s="52"/>
      <c r="F149" s="52"/>
      <c r="G149" s="52"/>
      <c r="H149" s="52"/>
      <c r="I149" s="53">
        <f>I150+I161+I157+I165+I167+I172+I175+I178+I153+I155</f>
        <v>16812171.509999998</v>
      </c>
      <c r="J149" s="53">
        <f>J150+J161+J157+J167+J172+J165+J175+J178+J153+J155</f>
        <v>2760484.8</v>
      </c>
      <c r="K149" s="53">
        <f>K150+K161+K157+K165+K167+K172+K175+K178+K153+K155</f>
        <v>14051686.709999999</v>
      </c>
      <c r="L149" s="53" t="e">
        <f>L150+L161</f>
        <v>#REF!</v>
      </c>
      <c r="M149" s="53" t="e">
        <f>M150+M161</f>
        <v>#REF!</v>
      </c>
      <c r="N149" s="53" t="e">
        <f>N150+N161</f>
        <v>#REF!</v>
      </c>
      <c r="O149" s="53">
        <f>I149-J149-K149</f>
        <v>0</v>
      </c>
      <c r="P149" s="53">
        <f>P150+P161</f>
        <v>42.810700294589566</v>
      </c>
      <c r="Q149" s="331"/>
      <c r="R149" s="331"/>
    </row>
    <row r="150" spans="1:50" ht="24" customHeight="1" x14ac:dyDescent="0.25">
      <c r="A150" s="173" t="s">
        <v>11</v>
      </c>
      <c r="B150" s="8" t="s">
        <v>9</v>
      </c>
      <c r="C150" s="8" t="s">
        <v>12</v>
      </c>
      <c r="D150" s="8"/>
      <c r="E150" s="8"/>
      <c r="F150" s="8"/>
      <c r="G150" s="8"/>
      <c r="H150" s="8"/>
      <c r="I150" s="9">
        <f>I151</f>
        <v>248300</v>
      </c>
      <c r="J150" s="9">
        <f t="shared" ref="J150:N150" si="77">J151</f>
        <v>54270.8</v>
      </c>
      <c r="K150" s="9">
        <f t="shared" ref="K150:K156" si="78">I150-J150</f>
        <v>194029.2</v>
      </c>
      <c r="L150" s="9" t="e">
        <f t="shared" si="77"/>
        <v>#REF!</v>
      </c>
      <c r="M150" s="9">
        <f t="shared" si="77"/>
        <v>0</v>
      </c>
      <c r="N150" s="9">
        <f t="shared" si="77"/>
        <v>0</v>
      </c>
      <c r="O150" s="9">
        <f t="shared" ref="O150:O170" si="79">I150-J150-K150</f>
        <v>0</v>
      </c>
      <c r="P150" s="12">
        <f t="shared" ref="P150:P159" si="80">J150/I150*100</f>
        <v>21.856947241240434</v>
      </c>
      <c r="Q150" s="331"/>
      <c r="R150" s="331"/>
    </row>
    <row r="151" spans="1:50" ht="102.75" customHeight="1" x14ac:dyDescent="0.25">
      <c r="A151" s="190" t="s">
        <v>153</v>
      </c>
      <c r="B151" s="41" t="s">
        <v>9</v>
      </c>
      <c r="C151" s="41" t="s">
        <v>12</v>
      </c>
      <c r="D151" s="41" t="s">
        <v>14</v>
      </c>
      <c r="E151" s="41" t="s">
        <v>72</v>
      </c>
      <c r="F151" s="41"/>
      <c r="G151" s="41"/>
      <c r="H151" s="41"/>
      <c r="I151" s="56">
        <f>I152</f>
        <v>248300</v>
      </c>
      <c r="J151" s="55">
        <f>J152</f>
        <v>54270.8</v>
      </c>
      <c r="K151" s="55">
        <f t="shared" si="78"/>
        <v>194029.2</v>
      </c>
      <c r="L151" s="18" t="e">
        <f>L152</f>
        <v>#REF!</v>
      </c>
      <c r="M151" s="186"/>
      <c r="N151" s="187"/>
      <c r="O151" s="20">
        <f t="shared" si="79"/>
        <v>0</v>
      </c>
      <c r="P151" s="21">
        <f t="shared" si="80"/>
        <v>21.856947241240434</v>
      </c>
      <c r="Q151" s="331"/>
      <c r="R151" s="331"/>
      <c r="S151" s="15"/>
    </row>
    <row r="152" spans="1:50" ht="18.75" x14ac:dyDescent="0.25">
      <c r="A152" s="99" t="s">
        <v>113</v>
      </c>
      <c r="B152" s="22" t="s">
        <v>9</v>
      </c>
      <c r="C152" s="22" t="s">
        <v>12</v>
      </c>
      <c r="D152" s="22" t="s">
        <v>14</v>
      </c>
      <c r="E152" s="43" t="s">
        <v>72</v>
      </c>
      <c r="F152" s="22" t="s">
        <v>63</v>
      </c>
      <c r="G152" s="22" t="s">
        <v>114</v>
      </c>
      <c r="H152" s="22"/>
      <c r="I152" s="35">
        <v>248300</v>
      </c>
      <c r="J152" s="100">
        <v>54270.8</v>
      </c>
      <c r="K152" s="34">
        <f t="shared" si="78"/>
        <v>194029.2</v>
      </c>
      <c r="L152" s="24" t="e">
        <f>#REF!</f>
        <v>#REF!</v>
      </c>
      <c r="M152" s="184"/>
      <c r="N152" s="185"/>
      <c r="O152" s="25">
        <f t="shared" si="79"/>
        <v>0</v>
      </c>
      <c r="P152" s="26">
        <f t="shared" si="80"/>
        <v>21.856947241240434</v>
      </c>
      <c r="Q152" s="331"/>
      <c r="R152" s="331"/>
      <c r="Z152" s="15"/>
      <c r="AA152" s="15"/>
      <c r="AB152" s="15"/>
      <c r="AC152" s="15"/>
      <c r="AD152" s="15"/>
    </row>
    <row r="153" spans="1:50" ht="131.25" customHeight="1" x14ac:dyDescent="0.25">
      <c r="A153" s="190" t="s">
        <v>154</v>
      </c>
      <c r="B153" s="41" t="s">
        <v>9</v>
      </c>
      <c r="C153" s="41" t="s">
        <v>12</v>
      </c>
      <c r="D153" s="41" t="s">
        <v>14</v>
      </c>
      <c r="E153" s="41" t="s">
        <v>159</v>
      </c>
      <c r="F153" s="41"/>
      <c r="G153" s="41"/>
      <c r="H153" s="41"/>
      <c r="I153" s="56">
        <f>I154</f>
        <v>314600</v>
      </c>
      <c r="J153" s="55">
        <f>J154</f>
        <v>39963.01</v>
      </c>
      <c r="K153" s="55">
        <f t="shared" si="78"/>
        <v>274636.99</v>
      </c>
      <c r="L153" s="18" t="e">
        <f>L154</f>
        <v>#REF!</v>
      </c>
      <c r="M153" s="186"/>
      <c r="N153" s="187"/>
      <c r="O153" s="20">
        <f t="shared" si="79"/>
        <v>0</v>
      </c>
      <c r="P153" s="21">
        <f t="shared" si="80"/>
        <v>12.702800381436747</v>
      </c>
      <c r="Q153" s="331"/>
      <c r="R153" s="331"/>
      <c r="S153" s="15"/>
    </row>
    <row r="154" spans="1:50" ht="18.75" x14ac:dyDescent="0.25">
      <c r="A154" s="99" t="s">
        <v>113</v>
      </c>
      <c r="B154" s="22" t="s">
        <v>9</v>
      </c>
      <c r="C154" s="22" t="s">
        <v>12</v>
      </c>
      <c r="D154" s="22" t="s">
        <v>14</v>
      </c>
      <c r="E154" s="43" t="s">
        <v>159</v>
      </c>
      <c r="F154" s="22" t="s">
        <v>63</v>
      </c>
      <c r="G154" s="22" t="s">
        <v>114</v>
      </c>
      <c r="H154" s="22"/>
      <c r="I154" s="35">
        <v>314600</v>
      </c>
      <c r="J154" s="100">
        <v>39963.01</v>
      </c>
      <c r="K154" s="34">
        <f t="shared" si="78"/>
        <v>274636.99</v>
      </c>
      <c r="L154" s="24" t="e">
        <f>#REF!</f>
        <v>#REF!</v>
      </c>
      <c r="M154" s="184"/>
      <c r="N154" s="185"/>
      <c r="O154" s="25">
        <f t="shared" si="79"/>
        <v>0</v>
      </c>
      <c r="P154" s="26">
        <f t="shared" si="80"/>
        <v>12.702800381436747</v>
      </c>
      <c r="Q154" s="331"/>
      <c r="R154" s="331"/>
      <c r="Z154" s="15"/>
      <c r="AA154" s="15"/>
      <c r="AB154" s="15"/>
      <c r="AC154" s="15"/>
      <c r="AD154" s="15"/>
    </row>
    <row r="155" spans="1:50" ht="117.75" customHeight="1" x14ac:dyDescent="0.25">
      <c r="A155" s="190" t="s">
        <v>154</v>
      </c>
      <c r="B155" s="41" t="s">
        <v>9</v>
      </c>
      <c r="C155" s="41" t="s">
        <v>12</v>
      </c>
      <c r="D155" s="41" t="s">
        <v>14</v>
      </c>
      <c r="E155" s="41" t="s">
        <v>160</v>
      </c>
      <c r="F155" s="41"/>
      <c r="G155" s="41"/>
      <c r="H155" s="41"/>
      <c r="I155" s="56">
        <f>I156</f>
        <v>4398775.51</v>
      </c>
      <c r="J155" s="55">
        <f>J156</f>
        <v>0</v>
      </c>
      <c r="K155" s="55">
        <f t="shared" si="78"/>
        <v>4398775.51</v>
      </c>
      <c r="L155" s="18" t="e">
        <f>L156</f>
        <v>#REF!</v>
      </c>
      <c r="M155" s="186"/>
      <c r="N155" s="187"/>
      <c r="O155" s="20">
        <f t="shared" si="79"/>
        <v>0</v>
      </c>
      <c r="P155" s="21">
        <f t="shared" si="80"/>
        <v>0</v>
      </c>
      <c r="Q155" s="331"/>
      <c r="R155" s="331"/>
      <c r="S155" s="15"/>
    </row>
    <row r="156" spans="1:50" ht="18.75" x14ac:dyDescent="0.25">
      <c r="A156" s="99" t="s">
        <v>113</v>
      </c>
      <c r="B156" s="22" t="s">
        <v>9</v>
      </c>
      <c r="C156" s="22" t="s">
        <v>12</v>
      </c>
      <c r="D156" s="22" t="s">
        <v>14</v>
      </c>
      <c r="E156" s="43" t="s">
        <v>160</v>
      </c>
      <c r="F156" s="22" t="s">
        <v>22</v>
      </c>
      <c r="G156" s="22" t="s">
        <v>114</v>
      </c>
      <c r="H156" s="22"/>
      <c r="I156" s="35">
        <v>4398775.51</v>
      </c>
      <c r="J156" s="100">
        <v>0</v>
      </c>
      <c r="K156" s="34">
        <f t="shared" si="78"/>
        <v>4398775.51</v>
      </c>
      <c r="L156" s="24" t="e">
        <f>#REF!</f>
        <v>#REF!</v>
      </c>
      <c r="M156" s="184"/>
      <c r="N156" s="185"/>
      <c r="O156" s="25">
        <f t="shared" si="79"/>
        <v>0</v>
      </c>
      <c r="P156" s="26">
        <f t="shared" si="80"/>
        <v>0</v>
      </c>
      <c r="Q156" s="331"/>
      <c r="R156" s="331"/>
      <c r="Z156" s="15"/>
      <c r="AA156" s="15"/>
      <c r="AB156" s="15"/>
      <c r="AC156" s="15"/>
      <c r="AD156" s="15"/>
    </row>
    <row r="157" spans="1:50" ht="56.25" hidden="1" x14ac:dyDescent="0.25">
      <c r="A157" s="199" t="s">
        <v>143</v>
      </c>
      <c r="B157" s="104" t="s">
        <v>9</v>
      </c>
      <c r="C157" s="104" t="s">
        <v>12</v>
      </c>
      <c r="D157" s="104" t="s">
        <v>14</v>
      </c>
      <c r="E157" s="104" t="s">
        <v>138</v>
      </c>
      <c r="F157" s="104"/>
      <c r="G157" s="104"/>
      <c r="H157" s="104"/>
      <c r="I157" s="106">
        <f>I159+I158+I160</f>
        <v>0</v>
      </c>
      <c r="J157" s="106">
        <f>J159+J158+J160</f>
        <v>0</v>
      </c>
      <c r="K157" s="106">
        <f t="shared" ref="K157" si="81">K159</f>
        <v>0</v>
      </c>
      <c r="L157" s="115"/>
      <c r="M157" s="195"/>
      <c r="N157" s="196"/>
      <c r="O157" s="20">
        <f>I157-J157-K157</f>
        <v>0</v>
      </c>
      <c r="P157" s="21" t="e">
        <f t="shared" si="80"/>
        <v>#DIV/0!</v>
      </c>
      <c r="Q157" s="331"/>
      <c r="R157" s="331"/>
      <c r="Z157" s="15"/>
      <c r="AA157" s="15"/>
      <c r="AB157" s="15"/>
      <c r="AC157" s="15"/>
      <c r="AD157" s="15"/>
    </row>
    <row r="158" spans="1:50" ht="18.75" hidden="1" x14ac:dyDescent="0.25">
      <c r="A158" s="200" t="s">
        <v>43</v>
      </c>
      <c r="B158" s="112" t="s">
        <v>9</v>
      </c>
      <c r="C158" s="112" t="s">
        <v>12</v>
      </c>
      <c r="D158" s="112" t="s">
        <v>14</v>
      </c>
      <c r="E158" s="113" t="s">
        <v>138</v>
      </c>
      <c r="F158" s="112" t="s">
        <v>63</v>
      </c>
      <c r="G158" s="112" t="s">
        <v>44</v>
      </c>
      <c r="H158" s="129"/>
      <c r="I158" s="118">
        <v>0</v>
      </c>
      <c r="J158" s="158">
        <v>0</v>
      </c>
      <c r="K158" s="116"/>
      <c r="L158" s="135"/>
      <c r="M158" s="182"/>
      <c r="N158" s="183"/>
      <c r="O158" s="119"/>
      <c r="P158" s="120"/>
      <c r="Q158" s="331"/>
      <c r="R158" s="331"/>
      <c r="Z158" s="15"/>
      <c r="AA158" s="15"/>
      <c r="AB158" s="15"/>
      <c r="AC158" s="15"/>
      <c r="AD158" s="15"/>
    </row>
    <row r="159" spans="1:50" ht="25.5" hidden="1" customHeight="1" x14ac:dyDescent="0.25">
      <c r="A159" s="99" t="s">
        <v>47</v>
      </c>
      <c r="B159" s="112" t="s">
        <v>9</v>
      </c>
      <c r="C159" s="112" t="s">
        <v>12</v>
      </c>
      <c r="D159" s="112" t="s">
        <v>14</v>
      </c>
      <c r="E159" s="113" t="s">
        <v>138</v>
      </c>
      <c r="F159" s="112" t="s">
        <v>63</v>
      </c>
      <c r="G159" s="112" t="s">
        <v>48</v>
      </c>
      <c r="H159" s="112"/>
      <c r="I159" s="118">
        <v>0</v>
      </c>
      <c r="J159" s="158">
        <v>0</v>
      </c>
      <c r="K159" s="118">
        <f t="shared" ref="K159:K171" si="82">I159-J159</f>
        <v>0</v>
      </c>
      <c r="L159" s="114"/>
      <c r="M159" s="188"/>
      <c r="N159" s="189"/>
      <c r="O159" s="119">
        <f t="shared" ref="O159" si="83">I159-J159-K159</f>
        <v>0</v>
      </c>
      <c r="P159" s="120" t="e">
        <f t="shared" si="80"/>
        <v>#DIV/0!</v>
      </c>
      <c r="Q159" s="331"/>
      <c r="R159" s="331"/>
      <c r="Z159" s="15"/>
      <c r="AA159" s="15"/>
      <c r="AB159" s="15"/>
      <c r="AC159" s="15"/>
      <c r="AD159" s="15"/>
    </row>
    <row r="160" spans="1:50" ht="25.5" hidden="1" customHeight="1" x14ac:dyDescent="0.25">
      <c r="A160" s="175" t="s">
        <v>109</v>
      </c>
      <c r="B160" s="112" t="s">
        <v>9</v>
      </c>
      <c r="C160" s="112" t="s">
        <v>12</v>
      </c>
      <c r="D160" s="112" t="s">
        <v>14</v>
      </c>
      <c r="E160" s="113" t="s">
        <v>138</v>
      </c>
      <c r="F160" s="112" t="s">
        <v>63</v>
      </c>
      <c r="G160" s="112" t="s">
        <v>104</v>
      </c>
      <c r="H160" s="112"/>
      <c r="I160" s="118">
        <v>0</v>
      </c>
      <c r="J160" s="158">
        <v>0</v>
      </c>
      <c r="K160" s="118"/>
      <c r="L160" s="114"/>
      <c r="M160" s="188"/>
      <c r="N160" s="189"/>
      <c r="O160" s="119"/>
      <c r="P160" s="120"/>
      <c r="Q160" s="331"/>
      <c r="R160" s="331"/>
      <c r="Z160" s="15"/>
      <c r="AA160" s="15"/>
      <c r="AB160" s="15"/>
      <c r="AC160" s="15"/>
      <c r="AD160" s="15"/>
    </row>
    <row r="161" spans="1:50" s="47" customFormat="1" ht="19.5" x14ac:dyDescent="0.35">
      <c r="A161" s="58" t="s">
        <v>75</v>
      </c>
      <c r="B161" s="59" t="s">
        <v>9</v>
      </c>
      <c r="C161" s="59" t="s">
        <v>76</v>
      </c>
      <c r="D161" s="59"/>
      <c r="E161" s="59"/>
      <c r="F161" s="59"/>
      <c r="G161" s="59"/>
      <c r="H161" s="59"/>
      <c r="I161" s="60">
        <f t="shared" ref="I161:J165" si="84">I162</f>
        <v>5202484</v>
      </c>
      <c r="J161" s="60">
        <f t="shared" si="84"/>
        <v>1090115.6499999999</v>
      </c>
      <c r="K161" s="60">
        <f t="shared" si="82"/>
        <v>4112368.35</v>
      </c>
      <c r="L161" s="60" t="e">
        <f>L162+#REF!</f>
        <v>#REF!</v>
      </c>
      <c r="M161" s="60" t="e">
        <f>M162+#REF!</f>
        <v>#REF!</v>
      </c>
      <c r="N161" s="60" t="e">
        <f>N162+#REF!</f>
        <v>#REF!</v>
      </c>
      <c r="O161" s="60">
        <f t="shared" si="79"/>
        <v>0</v>
      </c>
      <c r="P161" s="61">
        <f t="shared" ref="P161:P162" si="85">J161*100/I161</f>
        <v>20.953753053349129</v>
      </c>
      <c r="Q161" s="331"/>
      <c r="R161" s="331"/>
    </row>
    <row r="162" spans="1:50" ht="19.5" x14ac:dyDescent="0.35">
      <c r="A162" s="62" t="s">
        <v>77</v>
      </c>
      <c r="B162" s="63" t="s">
        <v>9</v>
      </c>
      <c r="C162" s="63" t="s">
        <v>76</v>
      </c>
      <c r="D162" s="63" t="s">
        <v>78</v>
      </c>
      <c r="E162" s="63"/>
      <c r="F162" s="63"/>
      <c r="G162" s="63"/>
      <c r="H162" s="63"/>
      <c r="I162" s="125">
        <f t="shared" si="84"/>
        <v>5202484</v>
      </c>
      <c r="J162" s="125">
        <f t="shared" si="84"/>
        <v>1090115.6499999999</v>
      </c>
      <c r="K162" s="64">
        <f t="shared" si="82"/>
        <v>4112368.35</v>
      </c>
      <c r="L162" s="64" t="e">
        <f t="shared" ref="L162:N162" si="86">L163</f>
        <v>#REF!</v>
      </c>
      <c r="M162" s="64">
        <f t="shared" si="86"/>
        <v>0</v>
      </c>
      <c r="N162" s="64">
        <f t="shared" si="86"/>
        <v>0</v>
      </c>
      <c r="O162" s="64">
        <f t="shared" si="79"/>
        <v>0</v>
      </c>
      <c r="P162" s="65">
        <f t="shared" si="85"/>
        <v>20.953753053349129</v>
      </c>
      <c r="Q162" s="331"/>
      <c r="R162" s="331"/>
    </row>
    <row r="163" spans="1:50" ht="135.75" customHeight="1" x14ac:dyDescent="0.25">
      <c r="A163" s="86" t="s">
        <v>79</v>
      </c>
      <c r="B163" s="41" t="s">
        <v>9</v>
      </c>
      <c r="C163" s="41" t="s">
        <v>76</v>
      </c>
      <c r="D163" s="41" t="s">
        <v>78</v>
      </c>
      <c r="E163" s="66">
        <v>7110175110</v>
      </c>
      <c r="F163" s="41"/>
      <c r="G163" s="41"/>
      <c r="H163" s="41"/>
      <c r="I163" s="17">
        <f t="shared" si="84"/>
        <v>5202484</v>
      </c>
      <c r="J163" s="17">
        <f t="shared" si="84"/>
        <v>1090115.6499999999</v>
      </c>
      <c r="K163" s="17">
        <f t="shared" si="82"/>
        <v>4112368.35</v>
      </c>
      <c r="L163" s="18" t="e">
        <f>L164</f>
        <v>#REF!</v>
      </c>
      <c r="M163" s="186"/>
      <c r="N163" s="187"/>
      <c r="O163" s="20">
        <f t="shared" si="79"/>
        <v>0</v>
      </c>
      <c r="P163" s="21">
        <f>J163/I163*100</f>
        <v>20.953753053349129</v>
      </c>
      <c r="Q163" s="331"/>
      <c r="R163" s="331"/>
    </row>
    <row r="164" spans="1:50" s="46" customFormat="1" ht="37.5" x14ac:dyDescent="0.25">
      <c r="A164" s="175" t="s">
        <v>93</v>
      </c>
      <c r="B164" s="22" t="s">
        <v>9</v>
      </c>
      <c r="C164" s="22" t="s">
        <v>76</v>
      </c>
      <c r="D164" s="22" t="s">
        <v>78</v>
      </c>
      <c r="E164" s="67">
        <v>7110175100</v>
      </c>
      <c r="F164" s="22" t="s">
        <v>63</v>
      </c>
      <c r="G164" s="22" t="s">
        <v>94</v>
      </c>
      <c r="H164" s="22"/>
      <c r="I164" s="35">
        <v>5202484</v>
      </c>
      <c r="J164" s="35">
        <v>1090115.6499999999</v>
      </c>
      <c r="K164" s="23">
        <f t="shared" si="82"/>
        <v>4112368.35</v>
      </c>
      <c r="L164" s="24" t="e">
        <f>#REF!</f>
        <v>#REF!</v>
      </c>
      <c r="M164" s="182"/>
      <c r="N164" s="183"/>
      <c r="O164" s="25">
        <f t="shared" si="79"/>
        <v>0</v>
      </c>
      <c r="P164" s="26">
        <f t="shared" ref="P164" si="87">J164/I164*100</f>
        <v>20.953753053349129</v>
      </c>
      <c r="Q164" s="331"/>
      <c r="R164" s="331"/>
      <c r="S164" s="1"/>
      <c r="T164" s="1"/>
      <c r="U164" s="1"/>
      <c r="V164" s="1"/>
      <c r="W164" s="1"/>
      <c r="X164" s="1"/>
      <c r="Y164" s="1"/>
      <c r="Z164" s="68"/>
      <c r="AA164" s="68"/>
      <c r="AB164" s="68"/>
      <c r="AC164" s="68"/>
      <c r="AD164" s="68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62.25" hidden="1" customHeight="1" x14ac:dyDescent="0.25">
      <c r="A165" s="40" t="s">
        <v>139</v>
      </c>
      <c r="B165" s="41" t="s">
        <v>9</v>
      </c>
      <c r="C165" s="41" t="s">
        <v>12</v>
      </c>
      <c r="D165" s="41" t="s">
        <v>14</v>
      </c>
      <c r="E165" s="66" t="s">
        <v>135</v>
      </c>
      <c r="F165" s="41"/>
      <c r="G165" s="41"/>
      <c r="H165" s="41"/>
      <c r="I165" s="17">
        <f t="shared" si="84"/>
        <v>0</v>
      </c>
      <c r="J165" s="17">
        <f t="shared" si="84"/>
        <v>0</v>
      </c>
      <c r="K165" s="17">
        <f t="shared" si="82"/>
        <v>0</v>
      </c>
      <c r="L165" s="18" t="e">
        <f>L166</f>
        <v>#REF!</v>
      </c>
      <c r="M165" s="186"/>
      <c r="N165" s="187"/>
      <c r="O165" s="20">
        <f t="shared" si="79"/>
        <v>0</v>
      </c>
      <c r="P165" s="21" t="e">
        <f>J165/I165*100</f>
        <v>#DIV/0!</v>
      </c>
      <c r="Q165" s="331"/>
      <c r="R165" s="331"/>
    </row>
    <row r="166" spans="1:50" s="46" customFormat="1" ht="18.75" hidden="1" x14ac:dyDescent="0.25">
      <c r="A166" s="99" t="s">
        <v>47</v>
      </c>
      <c r="B166" s="22" t="s">
        <v>9</v>
      </c>
      <c r="C166" s="16" t="s">
        <v>12</v>
      </c>
      <c r="D166" s="16" t="s">
        <v>14</v>
      </c>
      <c r="E166" s="134" t="s">
        <v>135</v>
      </c>
      <c r="F166" s="22" t="s">
        <v>63</v>
      </c>
      <c r="G166" s="22" t="s">
        <v>48</v>
      </c>
      <c r="H166" s="22"/>
      <c r="I166" s="35">
        <v>0</v>
      </c>
      <c r="J166" s="35">
        <v>0</v>
      </c>
      <c r="K166" s="23">
        <f t="shared" si="82"/>
        <v>0</v>
      </c>
      <c r="L166" s="24" t="e">
        <f>#REF!</f>
        <v>#REF!</v>
      </c>
      <c r="M166" s="182"/>
      <c r="N166" s="183"/>
      <c r="O166" s="25">
        <f t="shared" si="79"/>
        <v>0</v>
      </c>
      <c r="P166" s="26" t="e">
        <f t="shared" ref="P166" si="88">J166/I166*100</f>
        <v>#DIV/0!</v>
      </c>
      <c r="Q166" s="331"/>
      <c r="R166" s="331"/>
      <c r="S166" s="1"/>
      <c r="T166" s="1"/>
      <c r="U166" s="1"/>
      <c r="V166" s="1"/>
      <c r="W166" s="1"/>
      <c r="X166" s="1"/>
      <c r="Y166" s="1"/>
      <c r="Z166" s="68"/>
      <c r="AA166" s="68"/>
      <c r="AB166" s="68"/>
      <c r="AC166" s="68"/>
      <c r="AD166" s="68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62.25" hidden="1" customHeight="1" x14ac:dyDescent="0.25">
      <c r="A167" s="199" t="s">
        <v>148</v>
      </c>
      <c r="B167" s="41" t="s">
        <v>9</v>
      </c>
      <c r="C167" s="41" t="s">
        <v>12</v>
      </c>
      <c r="D167" s="41" t="s">
        <v>85</v>
      </c>
      <c r="E167" s="66">
        <v>7010470790</v>
      </c>
      <c r="F167" s="41"/>
      <c r="G167" s="41"/>
      <c r="H167" s="41"/>
      <c r="I167" s="17">
        <f>I170+I168+I169+I171</f>
        <v>0</v>
      </c>
      <c r="J167" s="17">
        <f>J170+J168+J169+J171</f>
        <v>0</v>
      </c>
      <c r="K167" s="17">
        <f t="shared" si="82"/>
        <v>0</v>
      </c>
      <c r="L167" s="18" t="e">
        <f>L170</f>
        <v>#REF!</v>
      </c>
      <c r="M167" s="186"/>
      <c r="N167" s="187"/>
      <c r="O167" s="20">
        <f t="shared" si="79"/>
        <v>0</v>
      </c>
      <c r="P167" s="21" t="e">
        <f>J167/I167*100</f>
        <v>#DIV/0!</v>
      </c>
      <c r="Q167" s="331"/>
      <c r="R167" s="331"/>
    </row>
    <row r="168" spans="1:50" ht="27" hidden="1" customHeight="1" x14ac:dyDescent="0.25">
      <c r="A168" s="200" t="s">
        <v>56</v>
      </c>
      <c r="B168" s="22" t="s">
        <v>9</v>
      </c>
      <c r="C168" s="22" t="s">
        <v>12</v>
      </c>
      <c r="D168" s="22" t="s">
        <v>85</v>
      </c>
      <c r="E168" s="67">
        <v>7010470790</v>
      </c>
      <c r="F168" s="22" t="s">
        <v>63</v>
      </c>
      <c r="G168" s="22" t="s">
        <v>38</v>
      </c>
      <c r="H168" s="22"/>
      <c r="I168" s="23"/>
      <c r="J168" s="23"/>
      <c r="K168" s="23">
        <f>I168-J168</f>
        <v>0</v>
      </c>
      <c r="L168" s="24"/>
      <c r="M168" s="182"/>
      <c r="N168" s="183"/>
      <c r="O168" s="25"/>
      <c r="P168" s="26"/>
      <c r="Q168" s="331"/>
      <c r="R168" s="331"/>
    </row>
    <row r="169" spans="1:50" ht="20.25" hidden="1" customHeight="1" x14ac:dyDescent="0.25">
      <c r="A169" s="200" t="s">
        <v>43</v>
      </c>
      <c r="B169" s="22" t="s">
        <v>9</v>
      </c>
      <c r="C169" s="22" t="s">
        <v>12</v>
      </c>
      <c r="D169" s="22" t="s">
        <v>85</v>
      </c>
      <c r="E169" s="67">
        <v>7010470790</v>
      </c>
      <c r="F169" s="22" t="s">
        <v>63</v>
      </c>
      <c r="G169" s="22" t="s">
        <v>44</v>
      </c>
      <c r="H169" s="22"/>
      <c r="I169" s="23"/>
      <c r="J169" s="23"/>
      <c r="K169" s="23">
        <f>I169-J169</f>
        <v>0</v>
      </c>
      <c r="L169" s="24"/>
      <c r="M169" s="182"/>
      <c r="N169" s="183"/>
      <c r="O169" s="25"/>
      <c r="P169" s="26"/>
      <c r="Q169" s="331"/>
      <c r="R169" s="331"/>
    </row>
    <row r="170" spans="1:50" s="2" customFormat="1" ht="24" hidden="1" customHeight="1" x14ac:dyDescent="0.25">
      <c r="A170" s="201" t="s">
        <v>47</v>
      </c>
      <c r="B170" s="112" t="s">
        <v>9</v>
      </c>
      <c r="C170" s="112" t="s">
        <v>12</v>
      </c>
      <c r="D170" s="112" t="s">
        <v>85</v>
      </c>
      <c r="E170" s="138">
        <v>7010470790</v>
      </c>
      <c r="F170" s="112" t="s">
        <v>63</v>
      </c>
      <c r="G170" s="112" t="s">
        <v>48</v>
      </c>
      <c r="H170" s="112"/>
      <c r="I170" s="116"/>
      <c r="J170" s="116"/>
      <c r="K170" s="116">
        <f t="shared" si="82"/>
        <v>0</v>
      </c>
      <c r="L170" s="136" t="e">
        <f>#REF!</f>
        <v>#REF!</v>
      </c>
      <c r="M170" s="182"/>
      <c r="N170" s="183"/>
      <c r="O170" s="119">
        <f t="shared" si="79"/>
        <v>0</v>
      </c>
      <c r="P170" s="120" t="e">
        <f t="shared" ref="P170:P172" si="89">J170/I170*100</f>
        <v>#DIV/0!</v>
      </c>
      <c r="Q170" s="332"/>
      <c r="R170" s="332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2" customFormat="1" ht="24" hidden="1" customHeight="1" x14ac:dyDescent="0.25">
      <c r="A171" s="175" t="s">
        <v>109</v>
      </c>
      <c r="B171" s="112" t="s">
        <v>9</v>
      </c>
      <c r="C171" s="112" t="s">
        <v>12</v>
      </c>
      <c r="D171" s="112" t="s">
        <v>85</v>
      </c>
      <c r="E171" s="138">
        <v>7010470790</v>
      </c>
      <c r="F171" s="112" t="s">
        <v>63</v>
      </c>
      <c r="G171" s="112" t="s">
        <v>104</v>
      </c>
      <c r="H171" s="22"/>
      <c r="I171" s="23"/>
      <c r="J171" s="23"/>
      <c r="K171" s="116">
        <f t="shared" si="82"/>
        <v>0</v>
      </c>
      <c r="L171" s="137"/>
      <c r="M171" s="207"/>
      <c r="N171" s="203"/>
      <c r="O171" s="119">
        <f>I171-J171-K171</f>
        <v>0</v>
      </c>
      <c r="P171" s="120" t="e">
        <f t="shared" si="89"/>
        <v>#DIV/0!</v>
      </c>
      <c r="Q171" s="332"/>
      <c r="R171" s="332"/>
      <c r="S171" s="1"/>
      <c r="T171" s="1"/>
      <c r="U171" s="1"/>
      <c r="V171" s="1"/>
      <c r="W171" s="1"/>
      <c r="X171" s="1"/>
      <c r="Y171" s="1"/>
      <c r="Z171" s="68"/>
      <c r="AA171" s="68"/>
      <c r="AB171" s="68"/>
      <c r="AC171" s="68"/>
      <c r="AD171" s="6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2" customFormat="1" ht="60" hidden="1" customHeight="1" x14ac:dyDescent="0.25">
      <c r="A172" s="199" t="s">
        <v>145</v>
      </c>
      <c r="B172" s="104" t="s">
        <v>9</v>
      </c>
      <c r="C172" s="104" t="s">
        <v>12</v>
      </c>
      <c r="D172" s="104" t="s">
        <v>12</v>
      </c>
      <c r="E172" s="104" t="s">
        <v>149</v>
      </c>
      <c r="F172" s="104"/>
      <c r="G172" s="104"/>
      <c r="H172" s="104"/>
      <c r="I172" s="106">
        <f>I173+I174</f>
        <v>0</v>
      </c>
      <c r="J172" s="106">
        <f>J174+J173</f>
        <v>0</v>
      </c>
      <c r="K172" s="106">
        <f>K174+K173</f>
        <v>0</v>
      </c>
      <c r="L172" s="115"/>
      <c r="M172" s="195"/>
      <c r="N172" s="196"/>
      <c r="O172" s="20">
        <f>I172-J172-K172</f>
        <v>0</v>
      </c>
      <c r="P172" s="21" t="e">
        <f t="shared" si="89"/>
        <v>#DIV/0!</v>
      </c>
      <c r="Q172" s="321"/>
      <c r="R172" s="32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33" hidden="1" customHeight="1" x14ac:dyDescent="0.25">
      <c r="A173" s="194" t="s">
        <v>27</v>
      </c>
      <c r="B173" s="112" t="s">
        <v>9</v>
      </c>
      <c r="C173" s="112" t="s">
        <v>12</v>
      </c>
      <c r="D173" s="112" t="s">
        <v>12</v>
      </c>
      <c r="E173" s="112" t="s">
        <v>149</v>
      </c>
      <c r="F173" s="112" t="s">
        <v>63</v>
      </c>
      <c r="G173" s="112" t="s">
        <v>28</v>
      </c>
      <c r="H173" s="129"/>
      <c r="I173" s="116"/>
      <c r="J173" s="117"/>
      <c r="K173" s="130">
        <f>I173-J173</f>
        <v>0</v>
      </c>
      <c r="L173" s="131"/>
      <c r="M173" s="184"/>
      <c r="N173" s="185"/>
      <c r="O173" s="132"/>
      <c r="P173" s="133"/>
      <c r="Q173" s="325"/>
      <c r="R173" s="326"/>
    </row>
    <row r="174" spans="1:50" s="2" customFormat="1" ht="27.75" hidden="1" customHeight="1" x14ac:dyDescent="0.25">
      <c r="A174" s="175" t="s">
        <v>31</v>
      </c>
      <c r="B174" s="112" t="s">
        <v>9</v>
      </c>
      <c r="C174" s="112" t="s">
        <v>12</v>
      </c>
      <c r="D174" s="112" t="s">
        <v>12</v>
      </c>
      <c r="E174" s="112" t="s">
        <v>149</v>
      </c>
      <c r="F174" s="112" t="s">
        <v>63</v>
      </c>
      <c r="G174" s="112" t="s">
        <v>32</v>
      </c>
      <c r="H174" s="112"/>
      <c r="I174" s="116"/>
      <c r="J174" s="117"/>
      <c r="K174" s="116">
        <f>I174-J174</f>
        <v>0</v>
      </c>
      <c r="L174" s="131"/>
      <c r="M174" s="182"/>
      <c r="N174" s="183"/>
      <c r="O174" s="119">
        <f t="shared" ref="O174" si="90">I174-J174-K174</f>
        <v>0</v>
      </c>
      <c r="P174" s="120" t="e">
        <f t="shared" ref="P174:P180" si="91">J174/I174*100</f>
        <v>#DIV/0!</v>
      </c>
      <c r="Q174" s="323"/>
      <c r="R174" s="32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s="2" customFormat="1" ht="60" customHeight="1" x14ac:dyDescent="0.25">
      <c r="A175" s="199" t="s">
        <v>156</v>
      </c>
      <c r="B175" s="104" t="s">
        <v>9</v>
      </c>
      <c r="C175" s="104" t="s">
        <v>12</v>
      </c>
      <c r="D175" s="104" t="s">
        <v>14</v>
      </c>
      <c r="E175" s="104" t="s">
        <v>157</v>
      </c>
      <c r="F175" s="104"/>
      <c r="G175" s="104"/>
      <c r="H175" s="104"/>
      <c r="I175" s="106">
        <f>I176+I177</f>
        <v>6358968</v>
      </c>
      <c r="J175" s="106">
        <f>J177+J176</f>
        <v>1508253.99</v>
      </c>
      <c r="K175" s="106">
        <f>K177+K176</f>
        <v>4850714.01</v>
      </c>
      <c r="L175" s="115"/>
      <c r="M175" s="195"/>
      <c r="N175" s="196"/>
      <c r="O175" s="20">
        <f>I175-J175-K175</f>
        <v>0</v>
      </c>
      <c r="P175" s="21">
        <f t="shared" si="91"/>
        <v>23.718534045146949</v>
      </c>
      <c r="Q175" s="321"/>
      <c r="R175" s="32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33" customHeight="1" x14ac:dyDescent="0.25">
      <c r="A176" s="194" t="s">
        <v>27</v>
      </c>
      <c r="B176" s="112" t="s">
        <v>9</v>
      </c>
      <c r="C176" s="112" t="s">
        <v>12</v>
      </c>
      <c r="D176" s="112" t="s">
        <v>14</v>
      </c>
      <c r="E176" s="112" t="s">
        <v>157</v>
      </c>
      <c r="F176" s="112" t="s">
        <v>63</v>
      </c>
      <c r="G176" s="112" t="s">
        <v>28</v>
      </c>
      <c r="H176" s="129"/>
      <c r="I176" s="116">
        <v>4884000</v>
      </c>
      <c r="J176" s="117">
        <v>1158413.18</v>
      </c>
      <c r="K176" s="116">
        <f>I176-J176</f>
        <v>3725586.8200000003</v>
      </c>
      <c r="L176" s="131"/>
      <c r="M176" s="184"/>
      <c r="N176" s="185"/>
      <c r="O176" s="119">
        <f t="shared" ref="O176:O177" si="92">I176-J176-K176</f>
        <v>0</v>
      </c>
      <c r="P176" s="120">
        <f t="shared" si="91"/>
        <v>23.718533579033576</v>
      </c>
      <c r="Q176" s="325"/>
      <c r="R176" s="326"/>
    </row>
    <row r="177" spans="1:50" s="2" customFormat="1" ht="27.75" customHeight="1" x14ac:dyDescent="0.25">
      <c r="A177" s="175" t="s">
        <v>31</v>
      </c>
      <c r="B177" s="112" t="s">
        <v>9</v>
      </c>
      <c r="C177" s="112" t="s">
        <v>12</v>
      </c>
      <c r="D177" s="112" t="s">
        <v>14</v>
      </c>
      <c r="E177" s="112" t="s">
        <v>157</v>
      </c>
      <c r="F177" s="112" t="s">
        <v>63</v>
      </c>
      <c r="G177" s="112" t="s">
        <v>32</v>
      </c>
      <c r="H177" s="112"/>
      <c r="I177" s="116">
        <v>1474968</v>
      </c>
      <c r="J177" s="117">
        <v>349840.81</v>
      </c>
      <c r="K177" s="116">
        <f>I177-J177</f>
        <v>1125127.19</v>
      </c>
      <c r="L177" s="131"/>
      <c r="M177" s="182"/>
      <c r="N177" s="183"/>
      <c r="O177" s="119">
        <f t="shared" si="92"/>
        <v>0</v>
      </c>
      <c r="P177" s="120">
        <f t="shared" si="91"/>
        <v>23.718535588568702</v>
      </c>
      <c r="Q177" s="323"/>
      <c r="R177" s="32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customHeight="1" x14ac:dyDescent="0.25">
      <c r="A178" s="199" t="s">
        <v>156</v>
      </c>
      <c r="B178" s="104" t="s">
        <v>9</v>
      </c>
      <c r="C178" s="104" t="s">
        <v>12</v>
      </c>
      <c r="D178" s="104" t="s">
        <v>14</v>
      </c>
      <c r="E178" s="104" t="s">
        <v>158</v>
      </c>
      <c r="F178" s="104"/>
      <c r="G178" s="104"/>
      <c r="H178" s="104"/>
      <c r="I178" s="106">
        <f>I179+I180</f>
        <v>289044</v>
      </c>
      <c r="J178" s="106">
        <f>J180+J179</f>
        <v>67881.349999999991</v>
      </c>
      <c r="K178" s="106">
        <f>K180+K179</f>
        <v>221162.65</v>
      </c>
      <c r="L178" s="115"/>
      <c r="M178" s="195"/>
      <c r="N178" s="196"/>
      <c r="O178" s="20">
        <f>I178-J178-K178</f>
        <v>0</v>
      </c>
      <c r="P178" s="21">
        <f t="shared" si="91"/>
        <v>23.484780863813118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customHeight="1" x14ac:dyDescent="0.25">
      <c r="A179" s="194" t="s">
        <v>27</v>
      </c>
      <c r="B179" s="112" t="s">
        <v>9</v>
      </c>
      <c r="C179" s="112" t="s">
        <v>12</v>
      </c>
      <c r="D179" s="112" t="s">
        <v>14</v>
      </c>
      <c r="E179" s="112" t="s">
        <v>158</v>
      </c>
      <c r="F179" s="112" t="s">
        <v>63</v>
      </c>
      <c r="G179" s="112" t="s">
        <v>28</v>
      </c>
      <c r="H179" s="129"/>
      <c r="I179" s="116">
        <v>222000</v>
      </c>
      <c r="J179" s="117">
        <v>52136.2</v>
      </c>
      <c r="K179" s="130">
        <f>I179-J179</f>
        <v>169863.8</v>
      </c>
      <c r="L179" s="131"/>
      <c r="M179" s="184"/>
      <c r="N179" s="185"/>
      <c r="O179" s="119">
        <f t="shared" ref="O179:O180" si="93">I179-J179-K179</f>
        <v>0</v>
      </c>
      <c r="P179" s="120">
        <f t="shared" si="91"/>
        <v>23.484774774774774</v>
      </c>
      <c r="Q179" s="325"/>
      <c r="R179" s="326"/>
    </row>
    <row r="180" spans="1:50" s="2" customFormat="1" ht="27.75" customHeight="1" x14ac:dyDescent="0.25">
      <c r="A180" s="175" t="s">
        <v>31</v>
      </c>
      <c r="B180" s="112" t="s">
        <v>9</v>
      </c>
      <c r="C180" s="112" t="s">
        <v>12</v>
      </c>
      <c r="D180" s="112" t="s">
        <v>14</v>
      </c>
      <c r="E180" s="112" t="s">
        <v>158</v>
      </c>
      <c r="F180" s="112" t="s">
        <v>63</v>
      </c>
      <c r="G180" s="112" t="s">
        <v>32</v>
      </c>
      <c r="H180" s="112"/>
      <c r="I180" s="116">
        <v>67044</v>
      </c>
      <c r="J180" s="117">
        <v>15745.15</v>
      </c>
      <c r="K180" s="116">
        <f>I180-J180</f>
        <v>51298.85</v>
      </c>
      <c r="L180" s="131"/>
      <c r="M180" s="182"/>
      <c r="N180" s="183"/>
      <c r="O180" s="119">
        <f t="shared" si="93"/>
        <v>0</v>
      </c>
      <c r="P180" s="120">
        <f t="shared" si="91"/>
        <v>23.484801026191754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9.5" customHeight="1" x14ac:dyDescent="0.25">
      <c r="A181" s="327" t="s">
        <v>80</v>
      </c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9"/>
      <c r="Q181" s="330"/>
      <c r="R181" s="330"/>
    </row>
    <row r="182" spans="1:50" s="15" customFormat="1" ht="64.5" customHeight="1" x14ac:dyDescent="0.25">
      <c r="A182" s="202" t="s">
        <v>120</v>
      </c>
      <c r="B182" s="16" t="s">
        <v>81</v>
      </c>
      <c r="C182" s="16" t="s">
        <v>82</v>
      </c>
      <c r="D182" s="16" t="s">
        <v>82</v>
      </c>
      <c r="E182" s="16" t="s">
        <v>83</v>
      </c>
      <c r="F182" s="16" t="s">
        <v>81</v>
      </c>
      <c r="G182" s="16"/>
      <c r="H182" s="16"/>
      <c r="I182" s="17">
        <f>I183</f>
        <v>4268106.4000000004</v>
      </c>
      <c r="J182" s="17">
        <f>J183</f>
        <v>807813.54</v>
      </c>
      <c r="K182" s="17">
        <f>I182-J182</f>
        <v>3460292.8600000003</v>
      </c>
      <c r="L182" s="17">
        <f t="shared" ref="L182:N182" si="94">L183</f>
        <v>0</v>
      </c>
      <c r="M182" s="17">
        <f t="shared" si="94"/>
        <v>0</v>
      </c>
      <c r="N182" s="17">
        <f t="shared" si="94"/>
        <v>0</v>
      </c>
      <c r="O182" s="20">
        <f t="shared" ref="O182:O183" si="95">I182-J182-K182</f>
        <v>0</v>
      </c>
      <c r="P182" s="21">
        <f>J182/I182*100</f>
        <v>18.926743250824298</v>
      </c>
      <c r="Q182" s="331"/>
      <c r="R182" s="331"/>
      <c r="S182" s="1"/>
      <c r="T182" s="1"/>
      <c r="U182" s="1"/>
      <c r="V182" s="1"/>
      <c r="W182" s="1"/>
      <c r="X182" s="1"/>
      <c r="Y182" s="1"/>
    </row>
    <row r="183" spans="1:50" s="15" customFormat="1" ht="18.75" customHeight="1" x14ac:dyDescent="0.25">
      <c r="A183" s="32" t="s">
        <v>113</v>
      </c>
      <c r="B183" s="22" t="s">
        <v>81</v>
      </c>
      <c r="C183" s="22" t="s">
        <v>82</v>
      </c>
      <c r="D183" s="22" t="s">
        <v>82</v>
      </c>
      <c r="E183" s="22" t="s">
        <v>83</v>
      </c>
      <c r="F183" s="22" t="s">
        <v>81</v>
      </c>
      <c r="G183" s="22" t="s">
        <v>114</v>
      </c>
      <c r="H183" s="22"/>
      <c r="I183" s="35">
        <v>4268106.4000000004</v>
      </c>
      <c r="J183" s="35">
        <v>807813.54</v>
      </c>
      <c r="K183" s="23">
        <f>I183-J183</f>
        <v>3460292.8600000003</v>
      </c>
      <c r="L183" s="38"/>
      <c r="M183" s="29"/>
      <c r="N183" s="1"/>
      <c r="O183" s="25">
        <f t="shared" si="95"/>
        <v>0</v>
      </c>
      <c r="P183" s="26">
        <f>J183/I183*100</f>
        <v>18.926743250824298</v>
      </c>
      <c r="Q183" s="331"/>
      <c r="R183" s="331"/>
      <c r="S183" s="1"/>
      <c r="T183" s="1"/>
      <c r="U183" s="1"/>
      <c r="V183" s="1"/>
      <c r="W183" s="1"/>
      <c r="X183" s="1"/>
      <c r="Y183" s="1"/>
    </row>
    <row r="184" spans="1:50" ht="0.75" customHeight="1" x14ac:dyDescent="0.25">
      <c r="A184" s="70"/>
      <c r="B184" s="70"/>
      <c r="C184" s="70"/>
      <c r="D184" s="70"/>
      <c r="E184" s="70"/>
      <c r="F184" s="70"/>
      <c r="G184" s="70"/>
      <c r="H184" s="71"/>
      <c r="I184" s="126"/>
      <c r="J184" s="127"/>
      <c r="K184" s="72"/>
      <c r="L184" s="1"/>
      <c r="M184" s="1"/>
    </row>
    <row r="185" spans="1:50" ht="27.75" customHeight="1" x14ac:dyDescent="0.25">
      <c r="A185" s="77"/>
      <c r="B185" s="78"/>
      <c r="C185" s="78"/>
      <c r="D185" s="78"/>
      <c r="E185" s="78"/>
      <c r="F185" s="78"/>
      <c r="G185" s="1"/>
      <c r="H185" s="1"/>
      <c r="I185" s="1"/>
      <c r="J185" s="1"/>
      <c r="K185" s="1"/>
      <c r="L185" s="73"/>
      <c r="M185" s="74"/>
      <c r="N185" s="75"/>
      <c r="O185" s="75"/>
      <c r="P185" s="75"/>
    </row>
    <row r="186" spans="1:50" ht="40.5" customHeight="1" x14ac:dyDescent="0.25">
      <c r="A186" s="379" t="s">
        <v>176</v>
      </c>
      <c r="B186" s="379"/>
      <c r="C186" s="379"/>
      <c r="D186" s="379"/>
      <c r="E186" s="379"/>
      <c r="F186" s="379"/>
      <c r="G186" s="379"/>
      <c r="H186" s="80"/>
      <c r="I186" s="1"/>
      <c r="J186" s="1"/>
      <c r="K186" s="1"/>
      <c r="L186" s="73"/>
      <c r="M186" s="74"/>
      <c r="N186" s="75"/>
      <c r="O186" s="75"/>
      <c r="P186" s="75"/>
    </row>
    <row r="187" spans="1:50" ht="15" customHeight="1" x14ac:dyDescent="0.25">
      <c r="A187" s="379" t="s">
        <v>177</v>
      </c>
      <c r="B187" s="379"/>
      <c r="C187" s="379"/>
      <c r="D187" s="379"/>
      <c r="E187" s="379"/>
      <c r="F187" s="379"/>
      <c r="G187" s="379"/>
      <c r="H187" s="80"/>
      <c r="I187" s="1"/>
      <c r="J187" s="1"/>
      <c r="K187" s="1"/>
      <c r="L187" s="73"/>
      <c r="M187" s="74"/>
      <c r="N187" s="75"/>
      <c r="O187" s="75"/>
      <c r="P187" s="75"/>
    </row>
    <row r="188" spans="1:50" ht="18.75" x14ac:dyDescent="0.25">
      <c r="A188" s="83"/>
      <c r="B188" s="84"/>
      <c r="C188" s="84"/>
      <c r="D188" s="84"/>
      <c r="E188" s="84"/>
      <c r="F188" s="84"/>
      <c r="G188" s="1"/>
      <c r="H188" s="1"/>
      <c r="I188" s="1"/>
      <c r="J188" s="1"/>
      <c r="K188" s="1"/>
      <c r="L188" s="73"/>
      <c r="M188" s="74"/>
      <c r="N188" s="75"/>
      <c r="O188" s="75"/>
      <c r="P188" s="75"/>
    </row>
    <row r="189" spans="1:50" x14ac:dyDescent="0.25">
      <c r="A189" s="1"/>
      <c r="B189" s="1"/>
      <c r="C189" s="1"/>
      <c r="D189" s="1"/>
      <c r="E189" s="1"/>
      <c r="F189" s="1"/>
      <c r="L189" s="73"/>
      <c r="M189" s="74"/>
      <c r="N189" s="75"/>
      <c r="O189" s="75"/>
      <c r="P189" s="75"/>
    </row>
    <row r="190" spans="1:50" x14ac:dyDescent="0.25">
      <c r="A190" s="1"/>
      <c r="B190" s="1"/>
      <c r="C190" s="1"/>
      <c r="D190" s="1"/>
      <c r="E190" s="1"/>
      <c r="F190" s="1"/>
      <c r="L190" s="73"/>
      <c r="M190" s="74"/>
      <c r="N190" s="75"/>
      <c r="O190" s="75"/>
      <c r="P190" s="75"/>
    </row>
    <row r="191" spans="1:50" x14ac:dyDescent="0.25">
      <c r="A191" s="1"/>
      <c r="B191" s="1"/>
      <c r="C191" s="1"/>
      <c r="D191" s="1"/>
      <c r="E191" s="1"/>
      <c r="F191" s="1"/>
      <c r="L191" s="73"/>
      <c r="M191" s="74"/>
      <c r="N191" s="75"/>
      <c r="O191" s="75"/>
      <c r="P191" s="75"/>
    </row>
    <row r="192" spans="1:50" x14ac:dyDescent="0.25">
      <c r="A192" s="1"/>
      <c r="B192" s="1"/>
      <c r="C192" s="1"/>
      <c r="D192" s="1"/>
      <c r="E192" s="1"/>
      <c r="F192" s="1"/>
    </row>
    <row r="193" spans="1:50" x14ac:dyDescent="0.25">
      <c r="A193" s="1"/>
      <c r="B193" s="1"/>
      <c r="C193" s="1"/>
      <c r="D193" s="1"/>
      <c r="E193" s="1"/>
      <c r="F193" s="1"/>
      <c r="L193" s="1"/>
      <c r="M193" s="1"/>
    </row>
    <row r="194" spans="1:50" x14ac:dyDescent="0.25">
      <c r="A194" s="1"/>
      <c r="B194" s="1"/>
      <c r="C194" s="1"/>
      <c r="D194" s="1"/>
      <c r="E194" s="1"/>
      <c r="F194" s="1"/>
      <c r="L194" s="1"/>
      <c r="M194" s="1"/>
    </row>
    <row r="195" spans="1:50" x14ac:dyDescent="0.25">
      <c r="A195" s="1"/>
      <c r="B195" s="1"/>
      <c r="C195" s="1"/>
      <c r="D195" s="1"/>
      <c r="E195" s="1"/>
      <c r="F195" s="1"/>
      <c r="L195" s="1"/>
      <c r="M195" s="1"/>
    </row>
    <row r="196" spans="1:50" x14ac:dyDescent="0.25">
      <c r="A196" s="1"/>
      <c r="B196" s="1"/>
      <c r="C196" s="1"/>
      <c r="D196" s="1"/>
      <c r="E196" s="1"/>
      <c r="F196" s="1"/>
      <c r="L196" s="1"/>
      <c r="M196" s="1"/>
    </row>
    <row r="197" spans="1:50" x14ac:dyDescent="0.25">
      <c r="A197" s="1"/>
      <c r="B197" s="1"/>
      <c r="C197" s="1"/>
      <c r="D197" s="1"/>
      <c r="E197" s="1"/>
      <c r="F197" s="1"/>
    </row>
    <row r="198" spans="1:50" x14ac:dyDescent="0.25">
      <c r="A198" s="1"/>
      <c r="B198" s="1"/>
      <c r="C198" s="1"/>
      <c r="D198" s="1"/>
      <c r="E198" s="1"/>
      <c r="F198" s="1"/>
    </row>
    <row r="199" spans="1:50" x14ac:dyDescent="0.25">
      <c r="A199" s="1"/>
      <c r="B199" s="1"/>
      <c r="C199" s="1"/>
      <c r="D199" s="1"/>
      <c r="E199" s="1"/>
      <c r="F199" s="1"/>
    </row>
    <row r="200" spans="1:50" x14ac:dyDescent="0.25">
      <c r="A200" s="1"/>
      <c r="B200" s="1"/>
      <c r="C200" s="1"/>
      <c r="D200" s="1"/>
      <c r="E200" s="1"/>
      <c r="F200" s="1"/>
    </row>
    <row r="201" spans="1:50" x14ac:dyDescent="0.25">
      <c r="A201" s="1"/>
      <c r="B201" s="1"/>
      <c r="C201" s="1"/>
      <c r="D201" s="1"/>
      <c r="E201" s="1"/>
      <c r="F201" s="1"/>
    </row>
    <row r="202" spans="1:50" x14ac:dyDescent="0.25">
      <c r="A202" s="1"/>
      <c r="B202" s="1"/>
      <c r="C202" s="1"/>
      <c r="D202" s="1"/>
      <c r="E202" s="1"/>
      <c r="F202" s="1"/>
    </row>
    <row r="203" spans="1:50" x14ac:dyDescent="0.25">
      <c r="A203" s="1"/>
      <c r="B203" s="1"/>
      <c r="C203" s="1"/>
      <c r="D203" s="1"/>
      <c r="E203" s="1"/>
      <c r="F203" s="1"/>
    </row>
    <row r="204" spans="1:50" x14ac:dyDescent="0.25">
      <c r="A204" s="1"/>
      <c r="B204" s="1"/>
      <c r="C204" s="1"/>
      <c r="D204" s="1"/>
      <c r="E204" s="1"/>
      <c r="F204" s="1"/>
    </row>
    <row r="205" spans="1:50" x14ac:dyDescent="0.25">
      <c r="A205" s="1"/>
      <c r="B205" s="1"/>
      <c r="C205" s="1"/>
      <c r="D205" s="1"/>
      <c r="E205" s="1"/>
      <c r="F205" s="1"/>
    </row>
    <row r="206" spans="1:50" x14ac:dyDescent="0.25">
      <c r="A206" s="1"/>
      <c r="B206" s="1"/>
      <c r="C206" s="1"/>
      <c r="D206" s="1"/>
      <c r="E206" s="1"/>
      <c r="F206" s="1"/>
    </row>
    <row r="207" spans="1:50" x14ac:dyDescent="0.25">
      <c r="A207" s="1"/>
      <c r="B207" s="1"/>
      <c r="C207" s="1"/>
      <c r="D207" s="1"/>
      <c r="E207" s="1"/>
      <c r="F207" s="1"/>
    </row>
    <row r="208" spans="1:50" s="68" customFormat="1" x14ac:dyDescent="0.25">
      <c r="A208" s="1"/>
      <c r="B208" s="1"/>
      <c r="C208" s="1"/>
      <c r="D208" s="1"/>
      <c r="E208" s="1"/>
      <c r="F208" s="1"/>
      <c r="I208" s="128"/>
      <c r="J208" s="128"/>
      <c r="K208" s="76"/>
      <c r="L208" s="76"/>
      <c r="M208" s="2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68" customFormat="1" x14ac:dyDescent="0.25">
      <c r="A209" s="85"/>
      <c r="I209" s="128"/>
      <c r="J209" s="128"/>
      <c r="K209" s="76"/>
      <c r="L209" s="76"/>
      <c r="M209" s="2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68" customFormat="1" x14ac:dyDescent="0.25">
      <c r="A210" s="85"/>
      <c r="I210" s="128"/>
      <c r="J210" s="128"/>
      <c r="K210" s="76"/>
      <c r="L210" s="76"/>
      <c r="M210" s="2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68" customFormat="1" x14ac:dyDescent="0.25">
      <c r="A211" s="85"/>
      <c r="I211" s="128"/>
      <c r="J211" s="128"/>
      <c r="K211" s="76"/>
      <c r="L211" s="76"/>
      <c r="M211" s="2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68" customFormat="1" x14ac:dyDescent="0.25">
      <c r="A212" s="85"/>
      <c r="I212" s="128"/>
      <c r="J212" s="128"/>
      <c r="K212" s="76"/>
      <c r="L212" s="76"/>
      <c r="M212" s="2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68" customFormat="1" x14ac:dyDescent="0.25">
      <c r="A213" s="85"/>
      <c r="I213" s="128"/>
      <c r="J213" s="128"/>
      <c r="K213" s="76"/>
      <c r="L213" s="76"/>
      <c r="M213" s="2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68" customFormat="1" x14ac:dyDescent="0.25">
      <c r="A214" s="85"/>
      <c r="I214" s="128"/>
      <c r="J214" s="128"/>
      <c r="K214" s="76"/>
      <c r="L214" s="76"/>
      <c r="M214" s="2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68" customFormat="1" x14ac:dyDescent="0.25">
      <c r="A215" s="85"/>
      <c r="I215" s="128"/>
      <c r="J215" s="128"/>
      <c r="K215" s="76"/>
      <c r="L215" s="76"/>
      <c r="M215" s="2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68" customFormat="1" x14ac:dyDescent="0.25">
      <c r="A216" s="85"/>
      <c r="I216" s="128"/>
      <c r="J216" s="128"/>
      <c r="K216" s="76"/>
      <c r="L216" s="76"/>
      <c r="M216" s="2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</sheetData>
  <mergeCells count="173">
    <mergeCell ref="Q182:R182"/>
    <mergeCell ref="Q183:R183"/>
    <mergeCell ref="A186:G186"/>
    <mergeCell ref="A187:G187"/>
    <mergeCell ref="Q170:R170"/>
    <mergeCell ref="Q171:R171"/>
    <mergeCell ref="Q172:R174"/>
    <mergeCell ref="Q175:R177"/>
    <mergeCell ref="Q178:R180"/>
    <mergeCell ref="A181:P181"/>
    <mergeCell ref="Q181:R181"/>
    <mergeCell ref="Q164:R164"/>
    <mergeCell ref="Q165:R165"/>
    <mergeCell ref="Q166:R166"/>
    <mergeCell ref="Q167:R167"/>
    <mergeCell ref="Q168:R168"/>
    <mergeCell ref="Q169:R169"/>
    <mergeCell ref="Q158:R158"/>
    <mergeCell ref="Q159:R159"/>
    <mergeCell ref="Q160:R160"/>
    <mergeCell ref="Q161:R161"/>
    <mergeCell ref="Q162:R162"/>
    <mergeCell ref="Q163:R163"/>
    <mergeCell ref="Q152:R152"/>
    <mergeCell ref="Q153:R153"/>
    <mergeCell ref="Q154:R154"/>
    <mergeCell ref="Q155:R155"/>
    <mergeCell ref="Q156:R156"/>
    <mergeCell ref="Q157:R157"/>
    <mergeCell ref="Q146:R147"/>
    <mergeCell ref="A148:P148"/>
    <mergeCell ref="Q148:R148"/>
    <mergeCell ref="Q149:R149"/>
    <mergeCell ref="Q150:R150"/>
    <mergeCell ref="Q151:R151"/>
    <mergeCell ref="Q134:R135"/>
    <mergeCell ref="Q137:R138"/>
    <mergeCell ref="Q139:R139"/>
    <mergeCell ref="Q140:R140"/>
    <mergeCell ref="Q141:R143"/>
    <mergeCell ref="Q144:R145"/>
    <mergeCell ref="Q123:R123"/>
    <mergeCell ref="Q125:R125"/>
    <mergeCell ref="Q126:R126"/>
    <mergeCell ref="Q127:R129"/>
    <mergeCell ref="Q130:R131"/>
    <mergeCell ref="Q132:R133"/>
    <mergeCell ref="Q117:R117"/>
    <mergeCell ref="Q118:R118"/>
    <mergeCell ref="Q119:R119"/>
    <mergeCell ref="Q120:R120"/>
    <mergeCell ref="Q121:R121"/>
    <mergeCell ref="Q122:R122"/>
    <mergeCell ref="Q111:R111"/>
    <mergeCell ref="Q112:R112"/>
    <mergeCell ref="Q113:R113"/>
    <mergeCell ref="Q114:R114"/>
    <mergeCell ref="Q115:R115"/>
    <mergeCell ref="Q116:R116"/>
    <mergeCell ref="Q105:R105"/>
    <mergeCell ref="Q106:R106"/>
    <mergeCell ref="Q107:R107"/>
    <mergeCell ref="Q108:R108"/>
    <mergeCell ref="Q109:R109"/>
    <mergeCell ref="Q110:R110"/>
    <mergeCell ref="Q100:R100"/>
    <mergeCell ref="Q101:R101"/>
    <mergeCell ref="Q102:R102"/>
    <mergeCell ref="Q103:R103"/>
    <mergeCell ref="A104:P104"/>
    <mergeCell ref="Q104:R104"/>
    <mergeCell ref="Q94:R94"/>
    <mergeCell ref="Q95:R95"/>
    <mergeCell ref="Q96:R96"/>
    <mergeCell ref="Q97:R97"/>
    <mergeCell ref="Q98:R98"/>
    <mergeCell ref="Q99:R99"/>
    <mergeCell ref="Q88:R88"/>
    <mergeCell ref="Q89:R89"/>
    <mergeCell ref="Q90:R90"/>
    <mergeCell ref="Q91:R91"/>
    <mergeCell ref="Q92:R92"/>
    <mergeCell ref="Q93:R93"/>
    <mergeCell ref="Q82:R82"/>
    <mergeCell ref="Q83:R83"/>
    <mergeCell ref="Q84:R84"/>
    <mergeCell ref="Q85:R85"/>
    <mergeCell ref="Q86:R86"/>
    <mergeCell ref="Q87:R87"/>
    <mergeCell ref="Q76:R76"/>
    <mergeCell ref="Q77:R77"/>
    <mergeCell ref="Q78:R78"/>
    <mergeCell ref="Q79:R79"/>
    <mergeCell ref="Q80:R80"/>
    <mergeCell ref="Q81:R81"/>
    <mergeCell ref="Q70:R70"/>
    <mergeCell ref="Q71:R71"/>
    <mergeCell ref="Q72:R72"/>
    <mergeCell ref="Q73:R73"/>
    <mergeCell ref="Q74:R74"/>
    <mergeCell ref="Q75:R75"/>
    <mergeCell ref="Q57:R57"/>
    <mergeCell ref="Q58:R58"/>
    <mergeCell ref="Q59:R59"/>
    <mergeCell ref="Q60:R60"/>
    <mergeCell ref="Q61:R68"/>
    <mergeCell ref="A69:P69"/>
    <mergeCell ref="Q69:R69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</mergeCells>
  <printOptions horizontalCentered="1"/>
  <pageMargins left="3.937007874015748E-2" right="3.937007874015748E-2" top="0.15748031496062992" bottom="0" header="0.11811023622047245" footer="0"/>
  <pageSetup paperSize="9" scale="55" fitToHeight="7" orientation="landscape" r:id="rId1"/>
  <rowBreaks count="2" manualBreakCount="2">
    <brk id="37" max="17" man="1"/>
    <brk id="6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216"/>
  <sheetViews>
    <sheetView showWhiteSpace="0" view="pageBreakPreview" topLeftCell="A163" zoomScale="55" zoomScaleNormal="75" zoomScaleSheetLayoutView="55" workbookViewId="0">
      <selection activeCell="J6" sqref="J6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178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179</v>
      </c>
      <c r="K3" s="353" t="s">
        <v>6</v>
      </c>
      <c r="L3" s="169"/>
      <c r="M3" s="170"/>
      <c r="N3" s="169"/>
      <c r="O3" s="353" t="s">
        <v>7</v>
      </c>
      <c r="P3" s="355" t="s">
        <v>175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 t="shared" ref="I6:N6" si="0">I8+I70+I105+I149+I182</f>
        <v>124462171.21000001</v>
      </c>
      <c r="J6" s="160">
        <f t="shared" si="0"/>
        <v>38721403.999999993</v>
      </c>
      <c r="K6" s="160">
        <f t="shared" si="0"/>
        <v>85740767.210000008</v>
      </c>
      <c r="L6" s="160" t="e">
        <f t="shared" si="0"/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0</v>
      </c>
      <c r="P6" s="163">
        <f>J6/I6*100</f>
        <v>31.11098225553765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I9+I61+I67</f>
        <v>24532970.259999998</v>
      </c>
      <c r="J8" s="9">
        <f>J9+J61+J67</f>
        <v>7951137.8699999992</v>
      </c>
      <c r="K8" s="9">
        <f>K9+K61+K67</f>
        <v>16581832.390000002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 t="shared" ref="O8:O12" si="1">I8-J8-K8</f>
        <v>0</v>
      </c>
      <c r="P8" s="12">
        <f>J8/I8*100</f>
        <v>32.410009003125083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</f>
        <v>24304157.369999997</v>
      </c>
      <c r="J9" s="157">
        <f>J10+J41+J46+J48+J50+J53+J59+J56</f>
        <v>7951137.8699999992</v>
      </c>
      <c r="K9" s="157">
        <f>K10+K41+K46+K48+K50+K53+K59+K56</f>
        <v>16353019.500000002</v>
      </c>
      <c r="L9" s="14" t="e">
        <f>L10+L41+L46+L48+L50+L53+L59+L56+L61+L67+#REF!</f>
        <v>#REF!</v>
      </c>
      <c r="M9" s="14" t="e">
        <f>M10+M41+M46+M48+M50+M53+M59+M56+M61+M67+#REF!</f>
        <v>#REF!</v>
      </c>
      <c r="N9" s="14" t="e">
        <f>N10+N41+N46+N48+N50+N53+N59+N56+N61+N67+#REF!</f>
        <v>#REF!</v>
      </c>
      <c r="O9" s="95">
        <f>I9-J9-K9</f>
        <v>0</v>
      </c>
      <c r="P9" s="96">
        <f t="shared" ref="P9:P60" si="2">J9/I9*100</f>
        <v>32.715134900395846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 t="shared" ref="I10:N12" si="3">I11</f>
        <v>10906429.089999998</v>
      </c>
      <c r="J10" s="17">
        <f t="shared" si="3"/>
        <v>3099413.84</v>
      </c>
      <c r="K10" s="17">
        <f t="shared" si="3"/>
        <v>7807015.25</v>
      </c>
      <c r="L10" s="17" t="e">
        <f t="shared" si="3"/>
        <v>#REF!</v>
      </c>
      <c r="M10" s="17">
        <f t="shared" si="3"/>
        <v>0</v>
      </c>
      <c r="N10" s="17">
        <f t="shared" si="3"/>
        <v>0</v>
      </c>
      <c r="O10" s="20">
        <f t="shared" si="1"/>
        <v>0</v>
      </c>
      <c r="P10" s="21">
        <f t="shared" si="2"/>
        <v>28.418227583231833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10906429.089999998</v>
      </c>
      <c r="J11" s="28">
        <f t="shared" si="3"/>
        <v>3099413.84</v>
      </c>
      <c r="K11" s="33">
        <f t="shared" si="3"/>
        <v>7807015.25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si="1"/>
        <v>0</v>
      </c>
      <c r="P11" s="31">
        <f t="shared" si="2"/>
        <v>28.418227583231833</v>
      </c>
      <c r="Q11" s="352"/>
      <c r="R11" s="352"/>
    </row>
    <row r="12" spans="1:50" ht="23.25" customHeight="1" x14ac:dyDescent="0.2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 t="shared" si="3"/>
        <v>10906429.089999998</v>
      </c>
      <c r="J12" s="35">
        <f>J13</f>
        <v>3099413.84</v>
      </c>
      <c r="K12" s="35">
        <f>K13</f>
        <v>7807015.25</v>
      </c>
      <c r="L12" s="87" t="e">
        <f>L13</f>
        <v>#REF!</v>
      </c>
      <c r="M12" s="176"/>
      <c r="N12" s="177"/>
      <c r="O12" s="88">
        <f t="shared" si="1"/>
        <v>0</v>
      </c>
      <c r="P12" s="154">
        <f t="shared" si="2"/>
        <v>28.418227583231833</v>
      </c>
      <c r="Q12" s="352"/>
      <c r="R12" s="352"/>
    </row>
    <row r="13" spans="1:50" ht="56.25" x14ac:dyDescent="0.25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10906429.089999998</v>
      </c>
      <c r="J13" s="35">
        <f>J14+J32</f>
        <v>3099413.84</v>
      </c>
      <c r="K13" s="35">
        <f>K14+K32+K28</f>
        <v>7807015.25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154">
        <f t="shared" si="2"/>
        <v>28.418227583231833</v>
      </c>
      <c r="Q13" s="352"/>
      <c r="R13" s="352"/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 t="shared" ref="I14:P14" si="4">I15+I22+I27+I29+I30+I31+I21+I18+I28</f>
        <v>9406230.3199999984</v>
      </c>
      <c r="J14" s="28">
        <f t="shared" si="4"/>
        <v>2616952.92</v>
      </c>
      <c r="K14" s="28">
        <f t="shared" si="4"/>
        <v>6789277.3999999994</v>
      </c>
      <c r="L14" s="28" t="e">
        <f t="shared" si="4"/>
        <v>#REF!</v>
      </c>
      <c r="M14" s="28">
        <f t="shared" si="4"/>
        <v>2585249.31</v>
      </c>
      <c r="N14" s="28">
        <f t="shared" si="4"/>
        <v>-3636010.1899999995</v>
      </c>
      <c r="O14" s="28">
        <f t="shared" si="4"/>
        <v>0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719667.84</v>
      </c>
      <c r="K15" s="28">
        <f>K16+K17</f>
        <v>2203704.62</v>
      </c>
      <c r="L15" s="28">
        <f t="shared" ref="L15:N15" si="5">L16+L17+L18</f>
        <v>-1006737.0299999999</v>
      </c>
      <c r="M15" s="28">
        <f t="shared" si="5"/>
        <v>2629273.1599999997</v>
      </c>
      <c r="N15" s="28">
        <f t="shared" si="5"/>
        <v>-3636010.1899999995</v>
      </c>
      <c r="O15" s="28">
        <f>O16+O17</f>
        <v>0</v>
      </c>
      <c r="P15" s="155">
        <f>J15/I15*100</f>
        <v>24.617726610176796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178">
        <v>2238335.23</v>
      </c>
      <c r="J16" s="100">
        <v>615799.1</v>
      </c>
      <c r="K16" s="100">
        <f>I16-J16</f>
        <v>1622536.13</v>
      </c>
      <c r="L16" s="100">
        <f t="shared" ref="L16:N16" si="6">J16-K16</f>
        <v>-1006737.0299999999</v>
      </c>
      <c r="M16" s="100">
        <f t="shared" si="6"/>
        <v>2629273.1599999997</v>
      </c>
      <c r="N16" s="100">
        <f t="shared" si="6"/>
        <v>-3636010.1899999995</v>
      </c>
      <c r="O16" s="153">
        <f>I16-J16-K16</f>
        <v>0</v>
      </c>
      <c r="P16" s="154">
        <f t="shared" si="2"/>
        <v>27.511477804868395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35">
        <v>685037.23</v>
      </c>
      <c r="J17" s="35">
        <v>103868.74</v>
      </c>
      <c r="K17" s="100">
        <f>I17-J17</f>
        <v>581168.49</v>
      </c>
      <c r="L17" s="165"/>
      <c r="M17" s="176"/>
      <c r="N17" s="177"/>
      <c r="O17" s="153">
        <f t="shared" ref="O17:O21" si="7">I17-J17-K17</f>
        <v>0</v>
      </c>
      <c r="P17" s="154">
        <f t="shared" si="2"/>
        <v>15.162495620858445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28">
        <f>I19+I20</f>
        <v>45000</v>
      </c>
      <c r="J18" s="28">
        <f t="shared" ref="J18:O18" si="8">J19+J20</f>
        <v>35433</v>
      </c>
      <c r="K18" s="28">
        <f t="shared" si="8"/>
        <v>9567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2"/>
        <v>78.739999999999995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35">
        <v>0</v>
      </c>
      <c r="J19" s="35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2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35">
        <v>45000</v>
      </c>
      <c r="J20" s="35">
        <v>35433</v>
      </c>
      <c r="K20" s="35">
        <f t="shared" si="9"/>
        <v>9567</v>
      </c>
      <c r="L20" s="28"/>
      <c r="M20" s="28"/>
      <c r="N20" s="28"/>
      <c r="O20" s="35">
        <f t="shared" si="7"/>
        <v>0</v>
      </c>
      <c r="P20" s="154">
        <f t="shared" si="2"/>
        <v>78.739999999999995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28">
        <v>30000</v>
      </c>
      <c r="J21" s="28">
        <v>8940.7800000000007</v>
      </c>
      <c r="K21" s="28">
        <f t="shared" si="9"/>
        <v>21059.22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2"/>
        <v>29.802600000000002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28">
        <f>I23+I25+I26+I24</f>
        <v>5264109.8599999994</v>
      </c>
      <c r="J22" s="28">
        <f t="shared" ref="J22:P22" si="10">J23+J25+J26+J24</f>
        <v>1314062.1499999999</v>
      </c>
      <c r="K22" s="28">
        <f t="shared" si="10"/>
        <v>3950047.71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76.51268310363433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35">
        <v>155350.32</v>
      </c>
      <c r="J23" s="35">
        <v>38972.11</v>
      </c>
      <c r="K23" s="35">
        <f>I23-J23</f>
        <v>116378.21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2"/>
        <v>25.086597826126138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35">
        <v>100000</v>
      </c>
      <c r="J24" s="35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2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35">
        <v>2218116.29</v>
      </c>
      <c r="J25" s="35">
        <v>619991.6</v>
      </c>
      <c r="K25" s="35">
        <f>I25-J25</f>
        <v>1598124.69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2"/>
        <v>27.951266702973449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35">
        <f>2661071.25+129572</f>
        <v>2790643.25</v>
      </c>
      <c r="J26" s="35">
        <f>615588.44+39510</f>
        <v>655098.43999999994</v>
      </c>
      <c r="K26" s="23">
        <f t="shared" si="11"/>
        <v>2135544.81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2"/>
        <v>23.474818574534741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35">
        <v>1142771.8500000001</v>
      </c>
      <c r="J27" s="35">
        <v>537873</v>
      </c>
      <c r="K27" s="23">
        <f t="shared" si="11"/>
        <v>604898.85000000009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2"/>
        <v>47.067400198911088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35">
        <v>0</v>
      </c>
      <c r="J28" s="35">
        <v>0</v>
      </c>
      <c r="K28" s="23">
        <f t="shared" si="11"/>
        <v>0</v>
      </c>
      <c r="L28" s="24">
        <f t="shared" si="13"/>
        <v>30000</v>
      </c>
      <c r="M28" s="182"/>
      <c r="N28" s="183"/>
      <c r="O28" s="25">
        <f t="shared" si="12"/>
        <v>0</v>
      </c>
      <c r="P28" s="26" t="e">
        <f t="shared" si="2"/>
        <v>#DIV/0!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36">
        <v>688.2</v>
      </c>
      <c r="J29" s="168">
        <v>688.2</v>
      </c>
      <c r="K29" s="23">
        <f t="shared" si="11"/>
        <v>0</v>
      </c>
      <c r="L29" s="38">
        <v>15000</v>
      </c>
      <c r="M29" s="182">
        <f>J29-L29</f>
        <v>-14311.8</v>
      </c>
      <c r="N29" s="183"/>
      <c r="O29" s="25">
        <f t="shared" si="12"/>
        <v>0</v>
      </c>
      <c r="P29" s="26">
        <f t="shared" si="2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35">
        <v>287.95</v>
      </c>
      <c r="J30" s="168">
        <v>287.95</v>
      </c>
      <c r="K30" s="23">
        <f t="shared" si="11"/>
        <v>0</v>
      </c>
      <c r="L30" s="38">
        <v>30000</v>
      </c>
      <c r="M30" s="182">
        <f>J30-L30</f>
        <v>-29712.05</v>
      </c>
      <c r="N30" s="183"/>
      <c r="O30" s="25">
        <f t="shared" si="12"/>
        <v>0</v>
      </c>
      <c r="P30" s="26">
        <f t="shared" si="2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35">
        <v>0</v>
      </c>
      <c r="J31" s="168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2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28">
        <f>I34+I33+I37+I38+I39+I40+I35+I36</f>
        <v>1500198.77</v>
      </c>
      <c r="J32" s="28">
        <f>J34+J33+J37+J38+J39+J40+J35+J36</f>
        <v>482460.92</v>
      </c>
      <c r="K32" s="33">
        <f>K34+K33+K37+K38+K39+K40+K35+K36</f>
        <v>1017737.8500000001</v>
      </c>
      <c r="L32" s="33" t="e">
        <f t="shared" ref="L32:O32" si="14">L34+L33+L37+L38+L39+L40</f>
        <v>#REF!</v>
      </c>
      <c r="M32" s="33">
        <f t="shared" si="14"/>
        <v>-4538002.4399999995</v>
      </c>
      <c r="N32" s="33">
        <f t="shared" si="14"/>
        <v>0</v>
      </c>
      <c r="O32" s="33">
        <f t="shared" si="14"/>
        <v>0</v>
      </c>
      <c r="P32" s="31">
        <f t="shared" si="2"/>
        <v>32.159799731071637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35">
        <v>642896.05000000005</v>
      </c>
      <c r="J33" s="35">
        <v>226028.95</v>
      </c>
      <c r="K33" s="23">
        <f>I33-J33</f>
        <v>416867.10000000003</v>
      </c>
      <c r="L33" s="39" t="e">
        <f>#REF!+#REF!+L74+#REF!+#REF!</f>
        <v>#REF!</v>
      </c>
      <c r="M33" s="182"/>
      <c r="N33" s="183"/>
      <c r="O33" s="25">
        <f t="shared" si="12"/>
        <v>0</v>
      </c>
      <c r="P33" s="26">
        <f t="shared" si="2"/>
        <v>35.157931052772838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35">
        <v>40000</v>
      </c>
      <c r="J34" s="35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-2269001.2199999997</v>
      </c>
      <c r="N34" s="23">
        <f t="shared" si="16"/>
        <v>0</v>
      </c>
      <c r="O34" s="25">
        <f t="shared" si="12"/>
        <v>0</v>
      </c>
      <c r="P34" s="26">
        <f t="shared" si="2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35">
        <v>0</v>
      </c>
      <c r="J35" s="100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2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35">
        <v>0</v>
      </c>
      <c r="J36" s="100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2"/>
        <v>#DIV/0!</v>
      </c>
      <c r="Q36" s="213"/>
      <c r="R36" s="214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35">
        <v>150000</v>
      </c>
      <c r="J37" s="100">
        <v>62876.78</v>
      </c>
      <c r="K37" s="23">
        <f t="shared" si="15"/>
        <v>87123.22</v>
      </c>
      <c r="L37" s="38">
        <v>1178466</v>
      </c>
      <c r="M37" s="182">
        <f>J37-L37</f>
        <v>-1115589.22</v>
      </c>
      <c r="N37" s="183"/>
      <c r="O37" s="25">
        <f t="shared" si="12"/>
        <v>0</v>
      </c>
      <c r="P37" s="26">
        <f t="shared" si="2"/>
        <v>41.917853333333333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35">
        <v>90000</v>
      </c>
      <c r="J38" s="100">
        <v>25054</v>
      </c>
      <c r="K38" s="23">
        <f t="shared" si="15"/>
        <v>64946</v>
      </c>
      <c r="L38" s="38">
        <v>1178466</v>
      </c>
      <c r="M38" s="182">
        <f>J38-L38</f>
        <v>-1153412</v>
      </c>
      <c r="N38" s="183"/>
      <c r="O38" s="25">
        <f t="shared" si="12"/>
        <v>0</v>
      </c>
      <c r="P38" s="26">
        <f t="shared" si="2"/>
        <v>27.837777777777777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35">
        <v>537302.72</v>
      </c>
      <c r="J39" s="100">
        <v>161626.69</v>
      </c>
      <c r="K39" s="23">
        <f t="shared" si="15"/>
        <v>375676.02999999997</v>
      </c>
      <c r="L39" s="38"/>
      <c r="M39" s="182"/>
      <c r="N39" s="183"/>
      <c r="O39" s="25">
        <f t="shared" si="12"/>
        <v>0</v>
      </c>
      <c r="P39" s="26">
        <f t="shared" si="2"/>
        <v>30.081122611849054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36">
        <v>40000</v>
      </c>
      <c r="J40" s="100">
        <v>6874.5</v>
      </c>
      <c r="K40" s="23">
        <f>I40-J40</f>
        <v>33125.5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17.186250000000001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55058.880000000005</v>
      </c>
      <c r="K41" s="17">
        <f>K42+K44+K45+K43</f>
        <v>546396.96</v>
      </c>
      <c r="L41" s="42"/>
      <c r="M41" s="186"/>
      <c r="N41" s="187"/>
      <c r="O41" s="20">
        <f>I41-K41-J41</f>
        <v>0</v>
      </c>
      <c r="P41" s="21">
        <f>J41/I41*100</f>
        <v>9.1542680839211741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35">
        <v>469250.7</v>
      </c>
      <c r="J42" s="35">
        <v>46561.19</v>
      </c>
      <c r="K42" s="35">
        <f>I42-J42</f>
        <v>422689.51</v>
      </c>
      <c r="L42" s="45"/>
      <c r="M42" s="188"/>
      <c r="N42" s="189"/>
      <c r="O42" s="25">
        <f>I42-K42-J42</f>
        <v>0</v>
      </c>
      <c r="P42" s="26">
        <f t="shared" si="2"/>
        <v>9.9224550970302232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35">
        <v>75871.14</v>
      </c>
      <c r="J43" s="100">
        <v>7597.69</v>
      </c>
      <c r="K43" s="35">
        <f>I43-J43</f>
        <v>68273.45</v>
      </c>
      <c r="L43" s="45"/>
      <c r="M43" s="188"/>
      <c r="N43" s="189"/>
      <c r="O43" s="25"/>
      <c r="P43" s="26">
        <f t="shared" si="2"/>
        <v>10.013939424134129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35">
        <v>51834</v>
      </c>
      <c r="J44" s="100">
        <v>0</v>
      </c>
      <c r="K44" s="35">
        <f t="shared" ref="K44:K45" si="17">I44-J44</f>
        <v>51834</v>
      </c>
      <c r="L44" s="45"/>
      <c r="M44" s="188"/>
      <c r="N44" s="189"/>
      <c r="O44" s="25">
        <f>I44-K44-J44</f>
        <v>0</v>
      </c>
      <c r="P44" s="26">
        <f t="shared" si="2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35">
        <v>4500</v>
      </c>
      <c r="J45" s="35">
        <v>900</v>
      </c>
      <c r="K45" s="35">
        <f t="shared" si="17"/>
        <v>3600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2"/>
        <v>20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27000</v>
      </c>
      <c r="K46" s="17">
        <f>K47</f>
        <v>1223000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2"/>
        <v>2.16</v>
      </c>
      <c r="Q46" s="336"/>
      <c r="R46" s="33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35">
        <v>1250000</v>
      </c>
      <c r="J47" s="35">
        <v>27000</v>
      </c>
      <c r="K47" s="23">
        <f>I47-J47</f>
        <v>1223000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2"/>
        <v>2.16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4743168.3499999996</v>
      </c>
      <c r="K48" s="17">
        <f t="shared" si="21"/>
        <v>6701384.4500000011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41.444767942352442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35">
        <v>11444552.800000001</v>
      </c>
      <c r="J49" s="100">
        <v>4743168.3499999996</v>
      </c>
      <c r="K49" s="36">
        <f>I49-J49</f>
        <v>6701384.4500000011</v>
      </c>
      <c r="L49" s="37"/>
      <c r="M49" s="182"/>
      <c r="N49" s="183"/>
      <c r="O49" s="25">
        <f>I49-J49-K49</f>
        <v>0</v>
      </c>
      <c r="P49" s="26">
        <f>J49/I49*100</f>
        <v>41.444767942352442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3511.5</v>
      </c>
      <c r="K50" s="17">
        <f t="shared" si="23"/>
        <v>9857.52</v>
      </c>
      <c r="L50" s="42"/>
      <c r="M50" s="186"/>
      <c r="N50" s="187"/>
      <c r="O50" s="20">
        <f>I50-J50-K50</f>
        <v>0</v>
      </c>
      <c r="P50" s="21">
        <f t="shared" si="2"/>
        <v>26.265949187000992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35">
        <v>10268.07</v>
      </c>
      <c r="J51" s="100">
        <v>2868.63</v>
      </c>
      <c r="K51" s="35">
        <f>I51-J51</f>
        <v>7399.44</v>
      </c>
      <c r="L51" s="93"/>
      <c r="M51" s="188"/>
      <c r="N51" s="189"/>
      <c r="O51" s="25">
        <f t="shared" ref="O51:O52" si="24">I51-J51-K51</f>
        <v>0</v>
      </c>
      <c r="P51" s="26">
        <f t="shared" si="2"/>
        <v>27.937382585042759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35">
        <v>3100.95</v>
      </c>
      <c r="J52" s="100">
        <v>642.87</v>
      </c>
      <c r="K52" s="35">
        <f>I52-J52</f>
        <v>2458.08</v>
      </c>
      <c r="L52" s="93"/>
      <c r="M52" s="188"/>
      <c r="N52" s="189"/>
      <c r="O52" s="25">
        <f t="shared" si="24"/>
        <v>0</v>
      </c>
      <c r="P52" s="26">
        <f t="shared" si="2"/>
        <v>20.731388767958208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22985.3</v>
      </c>
      <c r="K53" s="17">
        <f t="shared" si="25"/>
        <v>65365.32</v>
      </c>
      <c r="L53" s="42"/>
      <c r="M53" s="186"/>
      <c r="N53" s="187"/>
      <c r="O53" s="20">
        <f>I53-J53-K53</f>
        <v>0</v>
      </c>
      <c r="P53" s="21">
        <f t="shared" si="2"/>
        <v>26.016003056911202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35">
        <v>67857.62</v>
      </c>
      <c r="J54" s="100">
        <v>17653.84</v>
      </c>
      <c r="K54" s="35">
        <f>I54-J54</f>
        <v>50203.78</v>
      </c>
      <c r="L54" s="93"/>
      <c r="M54" s="188"/>
      <c r="N54" s="189"/>
      <c r="O54" s="25">
        <f t="shared" ref="O54:O55" si="26">I54-J54-K54</f>
        <v>0</v>
      </c>
      <c r="P54" s="26">
        <f t="shared" si="2"/>
        <v>26.016002329583621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35">
        <v>20493</v>
      </c>
      <c r="J55" s="100">
        <v>5331.46</v>
      </c>
      <c r="K55" s="35">
        <f>I55-J55</f>
        <v>15161.54</v>
      </c>
      <c r="L55" s="93"/>
      <c r="M55" s="188"/>
      <c r="N55" s="189"/>
      <c r="O55" s="25">
        <f t="shared" si="26"/>
        <v>0</v>
      </c>
      <c r="P55" s="26">
        <f t="shared" si="2"/>
        <v>26.016005465280827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2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2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2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2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2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I62+I63+I64+I65+I66</f>
        <v>208651</v>
      </c>
      <c r="J61" s="17">
        <f t="shared" ref="J61:K61" si="30">J62+J63+J64+J65+J66</f>
        <v>0</v>
      </c>
      <c r="K61" s="17">
        <f t="shared" si="30"/>
        <v>208651</v>
      </c>
      <c r="L61" s="42"/>
      <c r="M61" s="186"/>
      <c r="N61" s="187"/>
      <c r="O61" s="20">
        <f>I61-J61-K61</f>
        <v>0</v>
      </c>
      <c r="P61" s="21">
        <f>J61/I61*100</f>
        <v>0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2" customFormat="1" ht="18.75" x14ac:dyDescent="0.25">
      <c r="A62" s="191" t="s">
        <v>43</v>
      </c>
      <c r="B62" s="22" t="s">
        <v>9</v>
      </c>
      <c r="C62" s="22" t="s">
        <v>12</v>
      </c>
      <c r="D62" s="22" t="s">
        <v>12</v>
      </c>
      <c r="E62" s="22" t="s">
        <v>134</v>
      </c>
      <c r="F62" s="22" t="s">
        <v>22</v>
      </c>
      <c r="G62" s="22" t="s">
        <v>44</v>
      </c>
      <c r="H62" s="22"/>
      <c r="I62" s="35">
        <v>190000</v>
      </c>
      <c r="J62" s="100">
        <v>0</v>
      </c>
      <c r="K62" s="34">
        <f>I62-J62</f>
        <v>190000</v>
      </c>
      <c r="L62" s="34" t="e">
        <f>#REF!</f>
        <v>#REF!</v>
      </c>
      <c r="M62" s="34" t="e">
        <f>#REF!</f>
        <v>#REF!</v>
      </c>
      <c r="N62" s="34" t="e">
        <f>#REF!</f>
        <v>#REF!</v>
      </c>
      <c r="O62" s="25">
        <f t="shared" ref="O62:O64" si="31">I62-J62-K62</f>
        <v>0</v>
      </c>
      <c r="P62" s="26">
        <f t="shared" ref="P62:P66" si="32">J62/I62*100</f>
        <v>0</v>
      </c>
      <c r="Q62" s="325"/>
      <c r="R62" s="326"/>
      <c r="S62" s="1"/>
      <c r="T62" s="15"/>
      <c r="U62" s="15"/>
      <c r="V62" s="15"/>
      <c r="W62" s="15"/>
      <c r="X62" s="15"/>
      <c r="Y62" s="15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2" customFormat="1" ht="37.5" x14ac:dyDescent="0.25">
      <c r="A63" s="175" t="s">
        <v>106</v>
      </c>
      <c r="B63" s="22" t="s">
        <v>9</v>
      </c>
      <c r="C63" s="22" t="s">
        <v>12</v>
      </c>
      <c r="D63" s="22" t="s">
        <v>14</v>
      </c>
      <c r="E63" s="22" t="s">
        <v>134</v>
      </c>
      <c r="F63" s="22" t="s">
        <v>22</v>
      </c>
      <c r="G63" s="22" t="s">
        <v>101</v>
      </c>
      <c r="H63" s="22"/>
      <c r="I63" s="35">
        <v>5000</v>
      </c>
      <c r="J63" s="35">
        <v>0</v>
      </c>
      <c r="K63" s="34">
        <f t="shared" ref="K63:K66" si="33">I63-J63</f>
        <v>5000</v>
      </c>
      <c r="L63" s="38">
        <v>107900</v>
      </c>
      <c r="M63" s="182"/>
      <c r="N63" s="183"/>
      <c r="O63" s="25">
        <f t="shared" si="31"/>
        <v>0</v>
      </c>
      <c r="P63" s="26">
        <f t="shared" si="32"/>
        <v>0</v>
      </c>
      <c r="Q63" s="325"/>
      <c r="R63" s="32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8.75" x14ac:dyDescent="0.25">
      <c r="A64" s="99" t="s">
        <v>113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114</v>
      </c>
      <c r="H64" s="22"/>
      <c r="I64" s="35">
        <v>0</v>
      </c>
      <c r="J64" s="100">
        <v>0</v>
      </c>
      <c r="K64" s="34">
        <f t="shared" si="33"/>
        <v>0</v>
      </c>
      <c r="L64" s="45"/>
      <c r="M64" s="188"/>
      <c r="N64" s="189"/>
      <c r="O64" s="25">
        <f t="shared" si="31"/>
        <v>0</v>
      </c>
      <c r="P64" s="26" t="e">
        <f t="shared" si="32"/>
        <v>#DIV/0!</v>
      </c>
      <c r="Q64" s="325"/>
      <c r="R64" s="326"/>
    </row>
    <row r="65" spans="1:50" s="15" customFormat="1" ht="37.5" x14ac:dyDescent="0.25">
      <c r="A65" s="175" t="s">
        <v>109</v>
      </c>
      <c r="B65" s="22" t="s">
        <v>9</v>
      </c>
      <c r="C65" s="22" t="s">
        <v>12</v>
      </c>
      <c r="D65" s="22" t="s">
        <v>12</v>
      </c>
      <c r="E65" s="22" t="s">
        <v>134</v>
      </c>
      <c r="F65" s="22" t="s">
        <v>22</v>
      </c>
      <c r="G65" s="22" t="s">
        <v>104</v>
      </c>
      <c r="H65" s="22"/>
      <c r="I65" s="35">
        <v>13651</v>
      </c>
      <c r="J65" s="100">
        <v>0</v>
      </c>
      <c r="K65" s="34">
        <f t="shared" si="33"/>
        <v>13651</v>
      </c>
      <c r="L65" s="38">
        <v>1178466</v>
      </c>
      <c r="M65" s="182">
        <f>J65-L65</f>
        <v>-1178466</v>
      </c>
      <c r="N65" s="183"/>
      <c r="O65" s="25">
        <f>I65-J65-K65</f>
        <v>0</v>
      </c>
      <c r="P65" s="26">
        <v>0</v>
      </c>
      <c r="Q65" s="325"/>
      <c r="R65" s="326"/>
    </row>
    <row r="66" spans="1:50" ht="37.5" x14ac:dyDescent="0.25">
      <c r="A66" s="175" t="s">
        <v>110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105</v>
      </c>
      <c r="H66" s="22"/>
      <c r="I66" s="35">
        <v>0</v>
      </c>
      <c r="J66" s="100">
        <v>0</v>
      </c>
      <c r="K66" s="34">
        <f t="shared" si="33"/>
        <v>0</v>
      </c>
      <c r="L66" s="45" t="e">
        <f>L101</f>
        <v>#REF!</v>
      </c>
      <c r="M66" s="192"/>
      <c r="N66" s="193"/>
      <c r="O66" s="25">
        <f>I66-J66-K66</f>
        <v>0</v>
      </c>
      <c r="P66" s="26" t="e">
        <f t="shared" si="32"/>
        <v>#DIV/0!</v>
      </c>
      <c r="Q66" s="325"/>
      <c r="R66" s="326"/>
    </row>
    <row r="67" spans="1:50" ht="121.5" customHeight="1" x14ac:dyDescent="0.25">
      <c r="A67" s="190" t="s">
        <v>64</v>
      </c>
      <c r="B67" s="41" t="s">
        <v>9</v>
      </c>
      <c r="C67" s="41" t="s">
        <v>12</v>
      </c>
      <c r="D67" s="41" t="s">
        <v>12</v>
      </c>
      <c r="E67" s="41" t="s">
        <v>65</v>
      </c>
      <c r="F67" s="41"/>
      <c r="G67" s="41"/>
      <c r="H67" s="41"/>
      <c r="I67" s="17">
        <f>I68</f>
        <v>20161.89</v>
      </c>
      <c r="J67" s="17">
        <f>J68</f>
        <v>0</v>
      </c>
      <c r="K67" s="17">
        <f>K68</f>
        <v>20161.89</v>
      </c>
      <c r="L67" s="42"/>
      <c r="M67" s="186"/>
      <c r="N67" s="187"/>
      <c r="O67" s="20">
        <f>I67-J67-K67</f>
        <v>0</v>
      </c>
      <c r="P67" s="21">
        <f>J67/I67*100</f>
        <v>0</v>
      </c>
      <c r="Q67" s="325"/>
      <c r="R67" s="326"/>
    </row>
    <row r="68" spans="1:50" ht="40.5" customHeight="1" x14ac:dyDescent="0.25">
      <c r="A68" s="175" t="s">
        <v>109</v>
      </c>
      <c r="B68" s="22" t="s">
        <v>9</v>
      </c>
      <c r="C68" s="22" t="s">
        <v>12</v>
      </c>
      <c r="D68" s="22" t="s">
        <v>12</v>
      </c>
      <c r="E68" s="22" t="s">
        <v>66</v>
      </c>
      <c r="F68" s="22" t="s">
        <v>22</v>
      </c>
      <c r="G68" s="22" t="s">
        <v>104</v>
      </c>
      <c r="H68" s="22"/>
      <c r="I68" s="35">
        <v>20161.89</v>
      </c>
      <c r="J68" s="100">
        <v>0</v>
      </c>
      <c r="K68" s="34">
        <f>I68-J68</f>
        <v>20161.89</v>
      </c>
      <c r="L68" s="34" t="e">
        <f>#REF!</f>
        <v>#REF!</v>
      </c>
      <c r="M68" s="34" t="e">
        <f>#REF!</f>
        <v>#REF!</v>
      </c>
      <c r="N68" s="34" t="e">
        <f>#REF!</f>
        <v>#REF!</v>
      </c>
      <c r="O68" s="25">
        <f t="shared" ref="O68" si="34">I68-J68-K68</f>
        <v>0</v>
      </c>
      <c r="P68" s="26">
        <f t="shared" ref="P68" si="35">J68/I68*100</f>
        <v>0</v>
      </c>
      <c r="Q68" s="325"/>
      <c r="R68" s="326"/>
    </row>
    <row r="69" spans="1:50" s="2" customFormat="1" ht="20.25" customHeight="1" x14ac:dyDescent="0.3">
      <c r="A69" s="333" t="s">
        <v>54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  <c r="Q69" s="340"/>
      <c r="R69" s="340"/>
    </row>
    <row r="70" spans="1:50" ht="19.5" x14ac:dyDescent="0.25">
      <c r="A70" s="173" t="s">
        <v>11</v>
      </c>
      <c r="B70" s="8" t="s">
        <v>9</v>
      </c>
      <c r="C70" s="8" t="s">
        <v>12</v>
      </c>
      <c r="D70" s="8"/>
      <c r="E70" s="8"/>
      <c r="F70" s="8"/>
      <c r="G70" s="8"/>
      <c r="H70" s="8"/>
      <c r="I70" s="9">
        <f t="shared" ref="I70:N70" si="36">I71+I101</f>
        <v>77734610</v>
      </c>
      <c r="J70" s="9">
        <f t="shared" si="36"/>
        <v>24591302.909999996</v>
      </c>
      <c r="K70" s="9">
        <f t="shared" si="36"/>
        <v>53143307.090000004</v>
      </c>
      <c r="L70" s="9" t="e">
        <f t="shared" si="36"/>
        <v>#REF!</v>
      </c>
      <c r="M70" s="9" t="e">
        <f t="shared" si="36"/>
        <v>#REF!</v>
      </c>
      <c r="N70" s="9" t="e">
        <f t="shared" si="36"/>
        <v>#REF!</v>
      </c>
      <c r="O70" s="11">
        <f>I70-J70-K70</f>
        <v>0</v>
      </c>
      <c r="P70" s="12">
        <f>J70/I70*100</f>
        <v>31.634947303395482</v>
      </c>
      <c r="Q70" s="331"/>
      <c r="R70" s="331"/>
    </row>
    <row r="71" spans="1:50" s="15" customFormat="1" ht="19.5" x14ac:dyDescent="0.25">
      <c r="A71" s="174" t="s">
        <v>13</v>
      </c>
      <c r="B71" s="13" t="s">
        <v>9</v>
      </c>
      <c r="C71" s="13" t="s">
        <v>12</v>
      </c>
      <c r="D71" s="13" t="s">
        <v>14</v>
      </c>
      <c r="E71" s="13"/>
      <c r="F71" s="13"/>
      <c r="G71" s="13"/>
      <c r="H71" s="13"/>
      <c r="I71" s="157">
        <f>I72+I89+I92+I98+I95</f>
        <v>77351534</v>
      </c>
      <c r="J71" s="157">
        <f>J72+J89+J92+J98+J95</f>
        <v>24375302.909999996</v>
      </c>
      <c r="K71" s="14">
        <f>K72+K89+K92+K98+K95</f>
        <v>52976231.090000004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7">
        <f t="shared" ref="I71:O74" si="37">O72</f>
        <v>0</v>
      </c>
      <c r="P71" s="48">
        <f>J71/I71*100</f>
        <v>31.512371700346627</v>
      </c>
      <c r="Q71" s="331"/>
      <c r="R71" s="331"/>
    </row>
    <row r="72" spans="1:50" s="19" customFormat="1" ht="37.5" x14ac:dyDescent="0.25">
      <c r="A72" s="40" t="s">
        <v>15</v>
      </c>
      <c r="B72" s="41" t="s">
        <v>9</v>
      </c>
      <c r="C72" s="41" t="s">
        <v>12</v>
      </c>
      <c r="D72" s="41" t="s">
        <v>14</v>
      </c>
      <c r="E72" s="41" t="s">
        <v>55</v>
      </c>
      <c r="F72" s="41"/>
      <c r="G72" s="41"/>
      <c r="H72" s="41"/>
      <c r="I72" s="17">
        <f>I73</f>
        <v>73536924.890000001</v>
      </c>
      <c r="J72" s="17">
        <f>J73</f>
        <v>23360660.829999998</v>
      </c>
      <c r="K72" s="17">
        <f t="shared" si="37"/>
        <v>50176264.060000002</v>
      </c>
      <c r="L72" s="17">
        <f t="shared" si="37"/>
        <v>0</v>
      </c>
      <c r="M72" s="17">
        <f t="shared" si="37"/>
        <v>0</v>
      </c>
      <c r="N72" s="17">
        <f t="shared" si="37"/>
        <v>0</v>
      </c>
      <c r="O72" s="17">
        <f t="shared" si="37"/>
        <v>0</v>
      </c>
      <c r="P72" s="21">
        <f t="shared" ref="P72:P100" si="38">J72/I72*100</f>
        <v>31.767252798432864</v>
      </c>
      <c r="Q72" s="346"/>
      <c r="R72" s="346"/>
    </row>
    <row r="73" spans="1:50" s="15" customFormat="1" ht="56.25" x14ac:dyDescent="0.25">
      <c r="A73" s="194" t="s">
        <v>17</v>
      </c>
      <c r="B73" s="27" t="s">
        <v>9</v>
      </c>
      <c r="C73" s="27" t="s">
        <v>12</v>
      </c>
      <c r="D73" s="27" t="s">
        <v>14</v>
      </c>
      <c r="E73" s="27" t="s">
        <v>55</v>
      </c>
      <c r="F73" s="27"/>
      <c r="G73" s="27"/>
      <c r="H73" s="27"/>
      <c r="I73" s="28">
        <f t="shared" si="37"/>
        <v>73536924.890000001</v>
      </c>
      <c r="J73" s="156">
        <f>J74</f>
        <v>23360660.829999998</v>
      </c>
      <c r="K73" s="44">
        <f t="shared" si="37"/>
        <v>50176264.060000002</v>
      </c>
      <c r="L73" s="24"/>
      <c r="M73" s="184"/>
      <c r="N73" s="185"/>
      <c r="O73" s="30">
        <f t="shared" ref="O73:O103" si="39">I73-J73-K73</f>
        <v>0</v>
      </c>
      <c r="P73" s="31">
        <f t="shared" si="38"/>
        <v>31.767252798432864</v>
      </c>
      <c r="Q73" s="331"/>
      <c r="R73" s="331"/>
      <c r="S73" s="1"/>
      <c r="T73" s="1"/>
      <c r="U73" s="1"/>
      <c r="V73" s="1"/>
      <c r="W73" s="1"/>
      <c r="X73" s="1"/>
      <c r="Y73" s="1"/>
    </row>
    <row r="74" spans="1:50" s="15" customFormat="1" ht="18.75" x14ac:dyDescent="0.25">
      <c r="A74" s="99" t="s">
        <v>19</v>
      </c>
      <c r="B74" s="22" t="s">
        <v>9</v>
      </c>
      <c r="C74" s="22" t="s">
        <v>12</v>
      </c>
      <c r="D74" s="22" t="s">
        <v>14</v>
      </c>
      <c r="E74" s="22" t="s">
        <v>55</v>
      </c>
      <c r="F74" s="22" t="s">
        <v>20</v>
      </c>
      <c r="G74" s="22"/>
      <c r="H74" s="22"/>
      <c r="I74" s="28">
        <f t="shared" si="37"/>
        <v>73536924.890000001</v>
      </c>
      <c r="J74" s="156">
        <f t="shared" si="37"/>
        <v>23360660.829999998</v>
      </c>
      <c r="K74" s="44">
        <f t="shared" si="37"/>
        <v>50176264.060000002</v>
      </c>
      <c r="L74" s="38"/>
      <c r="M74" s="184"/>
      <c r="N74" s="185"/>
      <c r="O74" s="30">
        <f t="shared" si="39"/>
        <v>0</v>
      </c>
      <c r="P74" s="31">
        <f t="shared" si="38"/>
        <v>31.767252798432864</v>
      </c>
      <c r="Q74" s="331"/>
      <c r="R74" s="331"/>
      <c r="S74" s="1"/>
      <c r="T74" s="1"/>
      <c r="U74" s="1"/>
      <c r="V74" s="1"/>
      <c r="W74" s="1"/>
      <c r="X74" s="1"/>
      <c r="Y74" s="1"/>
    </row>
    <row r="75" spans="1:50" s="2" customFormat="1" ht="56.25" x14ac:dyDescent="0.25">
      <c r="A75" s="99" t="s">
        <v>21</v>
      </c>
      <c r="B75" s="22" t="s">
        <v>9</v>
      </c>
      <c r="C75" s="22" t="s">
        <v>12</v>
      </c>
      <c r="D75" s="22" t="s">
        <v>14</v>
      </c>
      <c r="E75" s="22" t="s">
        <v>55</v>
      </c>
      <c r="F75" s="22" t="s">
        <v>22</v>
      </c>
      <c r="G75" s="22"/>
      <c r="H75" s="22"/>
      <c r="I75" s="28">
        <f t="shared" ref="I75:N75" si="40">I76+I86</f>
        <v>73536924.890000001</v>
      </c>
      <c r="J75" s="28">
        <f t="shared" si="40"/>
        <v>23360660.829999998</v>
      </c>
      <c r="K75" s="33">
        <f t="shared" si="40"/>
        <v>50176264.060000002</v>
      </c>
      <c r="L75" s="33" t="e">
        <f t="shared" si="40"/>
        <v>#REF!</v>
      </c>
      <c r="M75" s="33" t="e">
        <f t="shared" si="40"/>
        <v>#REF!</v>
      </c>
      <c r="N75" s="33" t="e">
        <f t="shared" si="40"/>
        <v>#REF!</v>
      </c>
      <c r="O75" s="30">
        <f t="shared" si="39"/>
        <v>0</v>
      </c>
      <c r="P75" s="31">
        <f t="shared" si="38"/>
        <v>31.767252798432864</v>
      </c>
      <c r="Q75" s="331"/>
      <c r="R75" s="33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8.75" x14ac:dyDescent="0.25">
      <c r="A76" s="99" t="s">
        <v>23</v>
      </c>
      <c r="B76" s="22" t="s">
        <v>9</v>
      </c>
      <c r="C76" s="22" t="s">
        <v>12</v>
      </c>
      <c r="D76" s="22" t="s">
        <v>14</v>
      </c>
      <c r="E76" s="22" t="s">
        <v>55</v>
      </c>
      <c r="F76" s="22" t="s">
        <v>22</v>
      </c>
      <c r="G76" s="22" t="s">
        <v>24</v>
      </c>
      <c r="H76" s="22"/>
      <c r="I76" s="28">
        <f>I77+I84+I83+I81</f>
        <v>70313524.890000001</v>
      </c>
      <c r="J76" s="28">
        <f>J77+J84+J83+J81</f>
        <v>22541912.93</v>
      </c>
      <c r="K76" s="33">
        <f>K77+K84+K83+K81</f>
        <v>47771611.960000001</v>
      </c>
      <c r="L76" s="33" t="e">
        <f>L77+L84+#REF!</f>
        <v>#REF!</v>
      </c>
      <c r="M76" s="33" t="e">
        <f>M77+M84+#REF!</f>
        <v>#REF!</v>
      </c>
      <c r="N76" s="33" t="e">
        <f>N77+N84+#REF!</f>
        <v>#REF!</v>
      </c>
      <c r="O76" s="30">
        <f t="shared" si="39"/>
        <v>0</v>
      </c>
      <c r="P76" s="31">
        <f t="shared" si="38"/>
        <v>32.059142199548454</v>
      </c>
      <c r="Q76" s="331"/>
      <c r="R76" s="331"/>
    </row>
    <row r="77" spans="1:50" ht="18.75" x14ac:dyDescent="0.25">
      <c r="A77" s="99" t="s">
        <v>25</v>
      </c>
      <c r="B77" s="22" t="s">
        <v>9</v>
      </c>
      <c r="C77" s="22" t="s">
        <v>12</v>
      </c>
      <c r="D77" s="22" t="s">
        <v>14</v>
      </c>
      <c r="E77" s="22" t="s">
        <v>55</v>
      </c>
      <c r="F77" s="22" t="s">
        <v>22</v>
      </c>
      <c r="G77" s="22" t="s">
        <v>26</v>
      </c>
      <c r="H77" s="22"/>
      <c r="I77" s="28">
        <f>I78+I79+I80</f>
        <v>69377524.890000001</v>
      </c>
      <c r="J77" s="28">
        <f t="shared" ref="J77:K77" si="41">J78+J79+J80</f>
        <v>22190176.400000002</v>
      </c>
      <c r="K77" s="33">
        <f t="shared" si="41"/>
        <v>47187348.489999995</v>
      </c>
      <c r="L77" s="33" t="e">
        <f>L78+#REF!+L79</f>
        <v>#REF!</v>
      </c>
      <c r="M77" s="33" t="e">
        <f>M78+#REF!+M79</f>
        <v>#REF!</v>
      </c>
      <c r="N77" s="33" t="e">
        <f>N78+#REF!+N79</f>
        <v>#REF!</v>
      </c>
      <c r="O77" s="30">
        <f t="shared" si="39"/>
        <v>0</v>
      </c>
      <c r="P77" s="31">
        <f t="shared" si="38"/>
        <v>31.984675779632017</v>
      </c>
      <c r="Q77" s="331"/>
      <c r="R77" s="331"/>
    </row>
    <row r="78" spans="1:50" ht="18.75" x14ac:dyDescent="0.25">
      <c r="A78" s="99" t="s">
        <v>27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22</v>
      </c>
      <c r="G78" s="22" t="s">
        <v>28</v>
      </c>
      <c r="H78" s="22"/>
      <c r="I78" s="35">
        <v>53227407.75</v>
      </c>
      <c r="J78" s="35">
        <v>18160159.100000001</v>
      </c>
      <c r="K78" s="23">
        <f>I78-J78</f>
        <v>35067248.649999999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5">
        <f t="shared" si="39"/>
        <v>0</v>
      </c>
      <c r="P78" s="26">
        <f t="shared" si="38"/>
        <v>34.118060352093707</v>
      </c>
      <c r="Q78" s="331"/>
      <c r="R78" s="331"/>
    </row>
    <row r="79" spans="1:50" ht="18.75" x14ac:dyDescent="0.25">
      <c r="A79" s="175" t="s">
        <v>29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 t="s">
        <v>30</v>
      </c>
      <c r="H79" s="22"/>
      <c r="I79" s="35">
        <v>9000</v>
      </c>
      <c r="J79" s="35">
        <v>400</v>
      </c>
      <c r="K79" s="23">
        <f t="shared" ref="K79" si="42">I79-J79</f>
        <v>8600</v>
      </c>
      <c r="L79" s="23" t="e">
        <f>#REF!+#REF!</f>
        <v>#REF!</v>
      </c>
      <c r="M79" s="23" t="e">
        <f>#REF!+#REF!</f>
        <v>#REF!</v>
      </c>
      <c r="N79" s="23" t="e">
        <f>#REF!+#REF!</f>
        <v>#REF!</v>
      </c>
      <c r="O79" s="25">
        <f t="shared" si="39"/>
        <v>0</v>
      </c>
      <c r="P79" s="26">
        <f t="shared" si="38"/>
        <v>4.4444444444444446</v>
      </c>
      <c r="Q79" s="331"/>
      <c r="R79" s="331"/>
    </row>
    <row r="80" spans="1:50" ht="21.75" customHeight="1" x14ac:dyDescent="0.25">
      <c r="A80" s="175" t="s">
        <v>31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32</v>
      </c>
      <c r="H80" s="22"/>
      <c r="I80" s="35">
        <v>16141117.140000001</v>
      </c>
      <c r="J80" s="100">
        <v>4029617.3</v>
      </c>
      <c r="K80" s="23">
        <f>I80-J80</f>
        <v>12111499.84</v>
      </c>
      <c r="L80" s="24" t="e">
        <f>#REF!</f>
        <v>#REF!</v>
      </c>
      <c r="M80" s="182"/>
      <c r="N80" s="183"/>
      <c r="O80" s="25">
        <f t="shared" si="39"/>
        <v>0</v>
      </c>
      <c r="P80" s="26">
        <f t="shared" si="38"/>
        <v>24.964921975654526</v>
      </c>
      <c r="Q80" s="343"/>
      <c r="R80" s="343"/>
    </row>
    <row r="81" spans="1:50" ht="21.75" customHeight="1" x14ac:dyDescent="0.25">
      <c r="A81" s="179" t="s">
        <v>33</v>
      </c>
      <c r="B81" s="27" t="s">
        <v>9</v>
      </c>
      <c r="C81" s="27" t="s">
        <v>12</v>
      </c>
      <c r="D81" s="27" t="s">
        <v>14</v>
      </c>
      <c r="E81" s="27" t="s">
        <v>55</v>
      </c>
      <c r="F81" s="27" t="s">
        <v>22</v>
      </c>
      <c r="G81" s="27" t="s">
        <v>34</v>
      </c>
      <c r="H81" s="22"/>
      <c r="I81" s="28">
        <f>I82</f>
        <v>186000</v>
      </c>
      <c r="J81" s="156">
        <f>J82</f>
        <v>51357.4</v>
      </c>
      <c r="K81" s="33">
        <f t="shared" ref="K81:K82" si="43">I81-J81</f>
        <v>134642.6</v>
      </c>
      <c r="L81" s="92"/>
      <c r="M81" s="184"/>
      <c r="N81" s="185"/>
      <c r="O81" s="30">
        <f t="shared" si="39"/>
        <v>0</v>
      </c>
      <c r="P81" s="31">
        <f t="shared" si="38"/>
        <v>27.611505376344088</v>
      </c>
      <c r="Q81" s="344"/>
      <c r="R81" s="345"/>
    </row>
    <row r="82" spans="1:50" ht="24" customHeight="1" x14ac:dyDescent="0.25">
      <c r="A82" s="99" t="s">
        <v>43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44</v>
      </c>
      <c r="H82" s="22"/>
      <c r="I82" s="35">
        <v>186000</v>
      </c>
      <c r="J82" s="100">
        <v>51357.4</v>
      </c>
      <c r="K82" s="23">
        <f t="shared" si="43"/>
        <v>134642.6</v>
      </c>
      <c r="L82" s="24"/>
      <c r="M82" s="182"/>
      <c r="N82" s="183"/>
      <c r="O82" s="25">
        <f t="shared" si="39"/>
        <v>0</v>
      </c>
      <c r="P82" s="26">
        <f t="shared" si="38"/>
        <v>27.611505376344088</v>
      </c>
      <c r="Q82" s="344"/>
      <c r="R82" s="345"/>
    </row>
    <row r="83" spans="1:50" ht="42" customHeight="1" x14ac:dyDescent="0.25">
      <c r="A83" s="179" t="s">
        <v>93</v>
      </c>
      <c r="B83" s="27" t="s">
        <v>9</v>
      </c>
      <c r="C83" s="27" t="s">
        <v>12</v>
      </c>
      <c r="D83" s="27" t="s">
        <v>14</v>
      </c>
      <c r="E83" s="27" t="s">
        <v>55</v>
      </c>
      <c r="F83" s="27" t="s">
        <v>22</v>
      </c>
      <c r="G83" s="27" t="s">
        <v>94</v>
      </c>
      <c r="H83" s="27"/>
      <c r="I83" s="28">
        <v>220000</v>
      </c>
      <c r="J83" s="156">
        <v>207131.58</v>
      </c>
      <c r="K83" s="28">
        <f>I83-J83</f>
        <v>12868.420000000013</v>
      </c>
      <c r="L83" s="94">
        <v>802458</v>
      </c>
      <c r="M83" s="184">
        <f>L83</f>
        <v>802458</v>
      </c>
      <c r="N83" s="185"/>
      <c r="O83" s="30">
        <f>I83-J83-K83</f>
        <v>0</v>
      </c>
      <c r="P83" s="31">
        <v>0</v>
      </c>
      <c r="Q83" s="344"/>
      <c r="R83" s="345"/>
    </row>
    <row r="84" spans="1:50" ht="18.75" x14ac:dyDescent="0.25">
      <c r="A84" s="179" t="s">
        <v>33</v>
      </c>
      <c r="B84" s="27" t="s">
        <v>9</v>
      </c>
      <c r="C84" s="27" t="s">
        <v>12</v>
      </c>
      <c r="D84" s="27" t="s">
        <v>14</v>
      </c>
      <c r="E84" s="27" t="s">
        <v>55</v>
      </c>
      <c r="F84" s="27" t="s">
        <v>22</v>
      </c>
      <c r="G84" s="27" t="s">
        <v>34</v>
      </c>
      <c r="H84" s="27"/>
      <c r="I84" s="28">
        <f>I85</f>
        <v>530000</v>
      </c>
      <c r="J84" s="28">
        <f t="shared" ref="J84:P84" si="44">J85</f>
        <v>93247.55</v>
      </c>
      <c r="K84" s="28">
        <f t="shared" si="44"/>
        <v>436752.45</v>
      </c>
      <c r="L84" s="28" t="e">
        <f t="shared" si="44"/>
        <v>#REF!</v>
      </c>
      <c r="M84" s="28" t="e">
        <f t="shared" si="44"/>
        <v>#REF!</v>
      </c>
      <c r="N84" s="28" t="e">
        <f t="shared" si="44"/>
        <v>#REF!</v>
      </c>
      <c r="O84" s="28">
        <f t="shared" si="44"/>
        <v>0</v>
      </c>
      <c r="P84" s="28">
        <f t="shared" si="44"/>
        <v>17.593877358490566</v>
      </c>
      <c r="Q84" s="331"/>
      <c r="R84" s="331"/>
    </row>
    <row r="85" spans="1:50" ht="18.75" x14ac:dyDescent="0.25">
      <c r="A85" s="99" t="s">
        <v>43</v>
      </c>
      <c r="B85" s="22" t="s">
        <v>9</v>
      </c>
      <c r="C85" s="22" t="s">
        <v>12</v>
      </c>
      <c r="D85" s="22" t="s">
        <v>14</v>
      </c>
      <c r="E85" s="22" t="s">
        <v>55</v>
      </c>
      <c r="F85" s="22" t="s">
        <v>22</v>
      </c>
      <c r="G85" s="22" t="s">
        <v>44</v>
      </c>
      <c r="H85" s="22"/>
      <c r="I85" s="35">
        <v>530000</v>
      </c>
      <c r="J85" s="35">
        <f>47892.55+45355</f>
        <v>93247.55</v>
      </c>
      <c r="K85" s="35">
        <f>I85-J85</f>
        <v>436752.45</v>
      </c>
      <c r="L85" s="35" t="e">
        <f>L83+#REF!+#REF!</f>
        <v>#REF!</v>
      </c>
      <c r="M85" s="35" t="e">
        <f>M83+#REF!+#REF!</f>
        <v>#REF!</v>
      </c>
      <c r="N85" s="35" t="e">
        <f>N83+#REF!+#REF!</f>
        <v>#REF!</v>
      </c>
      <c r="O85" s="153">
        <f t="shared" si="39"/>
        <v>0</v>
      </c>
      <c r="P85" s="154">
        <f t="shared" si="38"/>
        <v>17.593877358490566</v>
      </c>
      <c r="Q85" s="331"/>
      <c r="R85" s="331"/>
    </row>
    <row r="86" spans="1:50" s="2" customFormat="1" ht="18.75" x14ac:dyDescent="0.25">
      <c r="A86" s="194" t="s">
        <v>45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46</v>
      </c>
      <c r="H86" s="27"/>
      <c r="I86" s="28">
        <f>I87+I88</f>
        <v>3223400</v>
      </c>
      <c r="J86" s="28">
        <f t="shared" ref="J86:N86" si="45">J87+J88</f>
        <v>818747.9</v>
      </c>
      <c r="K86" s="28">
        <f t="shared" si="45"/>
        <v>2404652.1</v>
      </c>
      <c r="L86" s="28" t="e">
        <f t="shared" si="45"/>
        <v>#REF!</v>
      </c>
      <c r="M86" s="28">
        <f t="shared" si="45"/>
        <v>0</v>
      </c>
      <c r="N86" s="28">
        <f t="shared" si="45"/>
        <v>0</v>
      </c>
      <c r="O86" s="88">
        <f t="shared" si="39"/>
        <v>0</v>
      </c>
      <c r="P86" s="155">
        <f t="shared" si="38"/>
        <v>25.40013339951604</v>
      </c>
      <c r="Q86" s="341"/>
      <c r="R86" s="341"/>
      <c r="S86" s="15"/>
      <c r="T86" s="15"/>
      <c r="U86" s="15"/>
      <c r="V86" s="15"/>
      <c r="W86" s="15"/>
      <c r="X86" s="15"/>
      <c r="Y86" s="1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8.75" x14ac:dyDescent="0.25">
      <c r="A87" s="99" t="s">
        <v>47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48</v>
      </c>
      <c r="H87" s="22"/>
      <c r="I87" s="35">
        <v>2693400</v>
      </c>
      <c r="J87" s="35">
        <v>817907.9</v>
      </c>
      <c r="K87" s="35">
        <f t="shared" ref="K87:K88" si="46">I87-J87</f>
        <v>1875492.1</v>
      </c>
      <c r="L87" s="50" t="e">
        <f>L88+#REF!+#REF!+#REF!+#REF!</f>
        <v>#REF!</v>
      </c>
      <c r="M87" s="176"/>
      <c r="N87" s="177"/>
      <c r="O87" s="153">
        <f t="shared" si="39"/>
        <v>0</v>
      </c>
      <c r="P87" s="154">
        <f t="shared" si="38"/>
        <v>30.367115912972451</v>
      </c>
      <c r="Q87" s="341"/>
      <c r="R87" s="341"/>
    </row>
    <row r="88" spans="1:50" ht="37.5" x14ac:dyDescent="0.25">
      <c r="A88" s="175" t="s">
        <v>109</v>
      </c>
      <c r="B88" s="22" t="s">
        <v>9</v>
      </c>
      <c r="C88" s="22" t="s">
        <v>12</v>
      </c>
      <c r="D88" s="22" t="s">
        <v>14</v>
      </c>
      <c r="E88" s="22" t="s">
        <v>55</v>
      </c>
      <c r="F88" s="22" t="s">
        <v>22</v>
      </c>
      <c r="G88" s="22" t="s">
        <v>104</v>
      </c>
      <c r="H88" s="22"/>
      <c r="I88" s="35">
        <v>530000</v>
      </c>
      <c r="J88" s="100">
        <v>840</v>
      </c>
      <c r="K88" s="35">
        <f t="shared" si="46"/>
        <v>529160</v>
      </c>
      <c r="L88" s="50" t="e">
        <f>#REF!</f>
        <v>#REF!</v>
      </c>
      <c r="M88" s="176"/>
      <c r="N88" s="177"/>
      <c r="O88" s="153">
        <f t="shared" si="39"/>
        <v>0</v>
      </c>
      <c r="P88" s="154">
        <f t="shared" si="38"/>
        <v>0.15849056603773584</v>
      </c>
      <c r="Q88" s="342"/>
      <c r="R88" s="342"/>
    </row>
    <row r="89" spans="1:50" s="2" customFormat="1" ht="118.5" customHeight="1" x14ac:dyDescent="0.25">
      <c r="A89" s="86" t="s">
        <v>130</v>
      </c>
      <c r="B89" s="41" t="s">
        <v>9</v>
      </c>
      <c r="C89" s="41" t="s">
        <v>12</v>
      </c>
      <c r="D89" s="41" t="s">
        <v>14</v>
      </c>
      <c r="E89" s="41" t="s">
        <v>57</v>
      </c>
      <c r="F89" s="41" t="s">
        <v>22</v>
      </c>
      <c r="G89" s="16"/>
      <c r="H89" s="16"/>
      <c r="I89" s="17">
        <f>I90+I91</f>
        <v>254011.41</v>
      </c>
      <c r="J89" s="17">
        <f t="shared" ref="J89:K89" si="47">J90+J91</f>
        <v>66718.399999999994</v>
      </c>
      <c r="K89" s="17">
        <f t="shared" si="47"/>
        <v>187293.01</v>
      </c>
      <c r="L89" s="42"/>
      <c r="M89" s="186"/>
      <c r="N89" s="187"/>
      <c r="O89" s="20">
        <f t="shared" si="39"/>
        <v>0</v>
      </c>
      <c r="P89" s="21">
        <f t="shared" si="38"/>
        <v>26.26590671655261</v>
      </c>
      <c r="Q89" s="331"/>
      <c r="R89" s="33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2" customFormat="1" ht="18.75" x14ac:dyDescent="0.25">
      <c r="A90" s="175" t="s">
        <v>27</v>
      </c>
      <c r="B90" s="43" t="s">
        <v>9</v>
      </c>
      <c r="C90" s="43" t="s">
        <v>12</v>
      </c>
      <c r="D90" s="43" t="s">
        <v>14</v>
      </c>
      <c r="E90" s="43" t="s">
        <v>57</v>
      </c>
      <c r="F90" s="43" t="s">
        <v>22</v>
      </c>
      <c r="G90" s="43" t="s">
        <v>28</v>
      </c>
      <c r="H90" s="43"/>
      <c r="I90" s="35">
        <v>195093.25</v>
      </c>
      <c r="J90" s="100">
        <v>54503.93</v>
      </c>
      <c r="K90" s="35">
        <f t="shared" ref="K90:K91" si="48">I90-J90</f>
        <v>140589.32</v>
      </c>
      <c r="L90" s="93"/>
      <c r="M90" s="188"/>
      <c r="N90" s="189"/>
      <c r="O90" s="25">
        <f t="shared" si="39"/>
        <v>0</v>
      </c>
      <c r="P90" s="26">
        <f t="shared" si="38"/>
        <v>27.937373538038862</v>
      </c>
      <c r="Q90" s="331"/>
      <c r="R90" s="33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15" customFormat="1" ht="18.75" x14ac:dyDescent="0.25">
      <c r="A91" s="99" t="s">
        <v>31</v>
      </c>
      <c r="B91" s="43" t="s">
        <v>9</v>
      </c>
      <c r="C91" s="43" t="s">
        <v>12</v>
      </c>
      <c r="D91" s="43" t="s">
        <v>14</v>
      </c>
      <c r="E91" s="43" t="s">
        <v>57</v>
      </c>
      <c r="F91" s="43" t="s">
        <v>22</v>
      </c>
      <c r="G91" s="103">
        <v>213</v>
      </c>
      <c r="H91" s="22"/>
      <c r="I91" s="35">
        <v>58918.16</v>
      </c>
      <c r="J91" s="100">
        <v>12214.47</v>
      </c>
      <c r="K91" s="35">
        <f t="shared" si="48"/>
        <v>46703.69</v>
      </c>
      <c r="L91" s="93"/>
      <c r="M91" s="188"/>
      <c r="N91" s="189"/>
      <c r="O91" s="25">
        <f t="shared" si="39"/>
        <v>0</v>
      </c>
      <c r="P91" s="26">
        <f t="shared" si="38"/>
        <v>20.731248226353298</v>
      </c>
      <c r="Q91" s="331"/>
      <c r="R91" s="331"/>
    </row>
    <row r="92" spans="1:50" s="15" customFormat="1" ht="118.5" customHeight="1" x14ac:dyDescent="0.25">
      <c r="A92" s="86" t="s">
        <v>131</v>
      </c>
      <c r="B92" s="41" t="s">
        <v>9</v>
      </c>
      <c r="C92" s="41" t="s">
        <v>12</v>
      </c>
      <c r="D92" s="41" t="s">
        <v>14</v>
      </c>
      <c r="E92" s="41" t="s">
        <v>57</v>
      </c>
      <c r="F92" s="41" t="s">
        <v>22</v>
      </c>
      <c r="G92" s="16"/>
      <c r="H92" s="16"/>
      <c r="I92" s="17">
        <f>I93+I94</f>
        <v>1678661.9200000002</v>
      </c>
      <c r="J92" s="17">
        <f t="shared" ref="J92:K92" si="49">J93+J94</f>
        <v>436720.46</v>
      </c>
      <c r="K92" s="17">
        <f t="shared" si="49"/>
        <v>1241941.46</v>
      </c>
      <c r="L92" s="42"/>
      <c r="M92" s="186"/>
      <c r="N92" s="187"/>
      <c r="O92" s="20">
        <f t="shared" si="39"/>
        <v>0</v>
      </c>
      <c r="P92" s="21">
        <f t="shared" si="38"/>
        <v>26.015986590081226</v>
      </c>
      <c r="Q92" s="338"/>
      <c r="R92" s="339"/>
    </row>
    <row r="93" spans="1:50" s="15" customFormat="1" ht="18.75" x14ac:dyDescent="0.25">
      <c r="A93" s="175" t="s">
        <v>27</v>
      </c>
      <c r="B93" s="43" t="s">
        <v>9</v>
      </c>
      <c r="C93" s="43" t="s">
        <v>12</v>
      </c>
      <c r="D93" s="43" t="s">
        <v>14</v>
      </c>
      <c r="E93" s="43" t="s">
        <v>57</v>
      </c>
      <c r="F93" s="43" t="s">
        <v>22</v>
      </c>
      <c r="G93" s="43" t="s">
        <v>28</v>
      </c>
      <c r="H93" s="43"/>
      <c r="I93" s="35">
        <v>1289294.8700000001</v>
      </c>
      <c r="J93" s="100">
        <v>335422.78000000003</v>
      </c>
      <c r="K93" s="35">
        <f t="shared" ref="K93:K94" si="50">I93-J93</f>
        <v>953872.09000000008</v>
      </c>
      <c r="L93" s="93"/>
      <c r="M93" s="188"/>
      <c r="N93" s="189"/>
      <c r="O93" s="25">
        <f t="shared" si="39"/>
        <v>0</v>
      </c>
      <c r="P93" s="26">
        <f t="shared" si="38"/>
        <v>26.015986552401316</v>
      </c>
      <c r="Q93" s="338"/>
      <c r="R93" s="339"/>
    </row>
    <row r="94" spans="1:50" s="15" customFormat="1" ht="18.75" x14ac:dyDescent="0.25">
      <c r="A94" s="99" t="s">
        <v>31</v>
      </c>
      <c r="B94" s="43" t="s">
        <v>9</v>
      </c>
      <c r="C94" s="43" t="s">
        <v>12</v>
      </c>
      <c r="D94" s="43" t="s">
        <v>14</v>
      </c>
      <c r="E94" s="43" t="s">
        <v>57</v>
      </c>
      <c r="F94" s="43" t="s">
        <v>22</v>
      </c>
      <c r="G94" s="103">
        <v>213</v>
      </c>
      <c r="H94" s="22"/>
      <c r="I94" s="35">
        <v>389367.05</v>
      </c>
      <c r="J94" s="100">
        <v>101297.68</v>
      </c>
      <c r="K94" s="35">
        <f t="shared" si="50"/>
        <v>288069.37</v>
      </c>
      <c r="L94" s="93"/>
      <c r="M94" s="188"/>
      <c r="N94" s="189"/>
      <c r="O94" s="25">
        <f t="shared" si="39"/>
        <v>0</v>
      </c>
      <c r="P94" s="26">
        <f t="shared" si="38"/>
        <v>26.015986714849138</v>
      </c>
      <c r="Q94" s="338"/>
      <c r="R94" s="339"/>
    </row>
    <row r="95" spans="1:50" s="15" customFormat="1" ht="118.5" hidden="1" customHeight="1" x14ac:dyDescent="0.25">
      <c r="A95" s="86" t="s">
        <v>131</v>
      </c>
      <c r="B95" s="41" t="s">
        <v>9</v>
      </c>
      <c r="C95" s="41" t="s">
        <v>12</v>
      </c>
      <c r="D95" s="41" t="s">
        <v>14</v>
      </c>
      <c r="E95" s="41" t="s">
        <v>152</v>
      </c>
      <c r="F95" s="41" t="s">
        <v>22</v>
      </c>
      <c r="G95" s="16"/>
      <c r="H95" s="16"/>
      <c r="I95" s="17">
        <f>I96+I97</f>
        <v>0</v>
      </c>
      <c r="J95" s="17">
        <f t="shared" ref="J95:K95" si="51">J96+J97</f>
        <v>0</v>
      </c>
      <c r="K95" s="17">
        <f t="shared" si="51"/>
        <v>0</v>
      </c>
      <c r="L95" s="42"/>
      <c r="M95" s="186"/>
      <c r="N95" s="187"/>
      <c r="O95" s="20">
        <f t="shared" si="39"/>
        <v>0</v>
      </c>
      <c r="P95" s="21" t="e">
        <f t="shared" si="38"/>
        <v>#DIV/0!</v>
      </c>
      <c r="Q95" s="338"/>
      <c r="R95" s="339"/>
    </row>
    <row r="96" spans="1:50" s="15" customFormat="1" ht="18.75" hidden="1" x14ac:dyDescent="0.25">
      <c r="A96" s="175" t="s">
        <v>27</v>
      </c>
      <c r="B96" s="43" t="s">
        <v>9</v>
      </c>
      <c r="C96" s="43" t="s">
        <v>12</v>
      </c>
      <c r="D96" s="43" t="s">
        <v>14</v>
      </c>
      <c r="E96" s="43" t="s">
        <v>152</v>
      </c>
      <c r="F96" s="43" t="s">
        <v>22</v>
      </c>
      <c r="G96" s="43" t="s">
        <v>28</v>
      </c>
      <c r="H96" s="43"/>
      <c r="I96" s="121">
        <v>0</v>
      </c>
      <c r="J96" s="122">
        <v>0</v>
      </c>
      <c r="K96" s="35">
        <f>I96-J96</f>
        <v>0</v>
      </c>
      <c r="L96" s="93"/>
      <c r="M96" s="188"/>
      <c r="N96" s="189"/>
      <c r="O96" s="25">
        <f>I96-J96-K96</f>
        <v>0</v>
      </c>
      <c r="P96" s="26" t="e">
        <f t="shared" si="38"/>
        <v>#DIV/0!</v>
      </c>
      <c r="Q96" s="338"/>
      <c r="R96" s="339"/>
    </row>
    <row r="97" spans="1:50" s="15" customFormat="1" ht="18.75" hidden="1" x14ac:dyDescent="0.25">
      <c r="A97" s="99" t="s">
        <v>31</v>
      </c>
      <c r="B97" s="43" t="s">
        <v>9</v>
      </c>
      <c r="C97" s="43" t="s">
        <v>12</v>
      </c>
      <c r="D97" s="43" t="s">
        <v>14</v>
      </c>
      <c r="E97" s="43" t="s">
        <v>152</v>
      </c>
      <c r="F97" s="43" t="s">
        <v>22</v>
      </c>
      <c r="G97" s="103">
        <v>213</v>
      </c>
      <c r="H97" s="22"/>
      <c r="I97" s="121">
        <v>0</v>
      </c>
      <c r="J97" s="122">
        <v>0</v>
      </c>
      <c r="K97" s="35">
        <f t="shared" ref="K97" si="52">I97-J97</f>
        <v>0</v>
      </c>
      <c r="L97" s="93"/>
      <c r="M97" s="188"/>
      <c r="N97" s="189"/>
      <c r="O97" s="25">
        <f t="shared" si="39"/>
        <v>0</v>
      </c>
      <c r="P97" s="26" t="e">
        <f t="shared" si="38"/>
        <v>#DIV/0!</v>
      </c>
      <c r="Q97" s="338"/>
      <c r="R97" s="339"/>
    </row>
    <row r="98" spans="1:50" s="2" customFormat="1" ht="62.25" customHeight="1" x14ac:dyDescent="0.25">
      <c r="A98" s="190" t="s">
        <v>58</v>
      </c>
      <c r="B98" s="41" t="s">
        <v>9</v>
      </c>
      <c r="C98" s="41" t="s">
        <v>12</v>
      </c>
      <c r="D98" s="41" t="s">
        <v>14</v>
      </c>
      <c r="E98" s="41" t="s">
        <v>59</v>
      </c>
      <c r="F98" s="41" t="s">
        <v>22</v>
      </c>
      <c r="G98" s="41"/>
      <c r="H98" s="41"/>
      <c r="I98" s="17">
        <f>I100+I99</f>
        <v>1881935.78</v>
      </c>
      <c r="J98" s="17">
        <f>J100+J99</f>
        <v>511203.22</v>
      </c>
      <c r="K98" s="17">
        <f>K100+K99</f>
        <v>1370732.56</v>
      </c>
      <c r="L98" s="18"/>
      <c r="M98" s="195"/>
      <c r="N98" s="196"/>
      <c r="O98" s="20">
        <f t="shared" si="39"/>
        <v>0</v>
      </c>
      <c r="P98" s="21">
        <f t="shared" si="38"/>
        <v>27.163690994811734</v>
      </c>
      <c r="Q98" s="331"/>
      <c r="R98" s="33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28.5" customHeight="1" x14ac:dyDescent="0.25">
      <c r="A99" s="175" t="s">
        <v>167</v>
      </c>
      <c r="B99" s="22" t="s">
        <v>9</v>
      </c>
      <c r="C99" s="22" t="s">
        <v>12</v>
      </c>
      <c r="D99" s="22" t="s">
        <v>14</v>
      </c>
      <c r="E99" s="22" t="s">
        <v>59</v>
      </c>
      <c r="F99" s="22" t="s">
        <v>22</v>
      </c>
      <c r="G99" s="22" t="s">
        <v>146</v>
      </c>
      <c r="H99" s="22"/>
      <c r="I99" s="23">
        <v>249335.78</v>
      </c>
      <c r="J99" s="34">
        <v>44739.839999999997</v>
      </c>
      <c r="K99" s="34">
        <f>I99-J99</f>
        <v>204595.94</v>
      </c>
      <c r="L99" s="24"/>
      <c r="M99" s="182"/>
      <c r="N99" s="183"/>
      <c r="O99" s="25"/>
      <c r="P99" s="26"/>
      <c r="Q99" s="331"/>
      <c r="R99" s="331"/>
    </row>
    <row r="100" spans="1:50" ht="18.75" x14ac:dyDescent="0.25">
      <c r="A100" s="99" t="s">
        <v>113</v>
      </c>
      <c r="B100" s="22" t="s">
        <v>9</v>
      </c>
      <c r="C100" s="22" t="s">
        <v>12</v>
      </c>
      <c r="D100" s="22" t="s">
        <v>14</v>
      </c>
      <c r="E100" s="22" t="s">
        <v>59</v>
      </c>
      <c r="F100" s="22" t="s">
        <v>22</v>
      </c>
      <c r="G100" s="22" t="s">
        <v>114</v>
      </c>
      <c r="H100" s="22"/>
      <c r="I100" s="35">
        <v>1632600</v>
      </c>
      <c r="J100" s="100">
        <v>466463.38</v>
      </c>
      <c r="K100" s="34">
        <f>I100-J100</f>
        <v>1166136.6200000001</v>
      </c>
      <c r="L100" s="93" t="e">
        <f>#REF!</f>
        <v>#REF!</v>
      </c>
      <c r="M100" s="188"/>
      <c r="N100" s="189"/>
      <c r="O100" s="25">
        <f t="shared" si="39"/>
        <v>0</v>
      </c>
      <c r="P100" s="26">
        <f t="shared" si="38"/>
        <v>28.571810608844789</v>
      </c>
      <c r="Q100" s="331"/>
      <c r="R100" s="331"/>
    </row>
    <row r="101" spans="1:50" s="15" customFormat="1" ht="117.75" customHeight="1" x14ac:dyDescent="0.25">
      <c r="A101" s="190" t="s">
        <v>73</v>
      </c>
      <c r="B101" s="41" t="s">
        <v>9</v>
      </c>
      <c r="C101" s="41" t="s">
        <v>12</v>
      </c>
      <c r="D101" s="41" t="s">
        <v>12</v>
      </c>
      <c r="E101" s="41" t="s">
        <v>74</v>
      </c>
      <c r="F101" s="41"/>
      <c r="G101" s="41"/>
      <c r="H101" s="41"/>
      <c r="I101" s="17">
        <f>I103+I102</f>
        <v>383076</v>
      </c>
      <c r="J101" s="17">
        <f t="shared" ref="J101:K101" si="53">J103+J102</f>
        <v>216000</v>
      </c>
      <c r="K101" s="17">
        <f t="shared" si="53"/>
        <v>167076</v>
      </c>
      <c r="L101" s="18" t="e">
        <f>L103</f>
        <v>#REF!</v>
      </c>
      <c r="M101" s="186"/>
      <c r="N101" s="187"/>
      <c r="O101" s="20">
        <f>I101-J101-K101</f>
        <v>0</v>
      </c>
      <c r="P101" s="21">
        <f>J101/I101*100</f>
        <v>56.385678037778405</v>
      </c>
      <c r="Q101" s="331"/>
      <c r="R101" s="331"/>
      <c r="Z101" s="1"/>
      <c r="AA101" s="1"/>
      <c r="AB101" s="1"/>
      <c r="AC101" s="1"/>
      <c r="AD101" s="1"/>
    </row>
    <row r="102" spans="1:50" s="15" customFormat="1" ht="18.75" x14ac:dyDescent="0.25">
      <c r="A102" s="99" t="s">
        <v>43</v>
      </c>
      <c r="B102" s="22" t="s">
        <v>9</v>
      </c>
      <c r="C102" s="22" t="s">
        <v>12</v>
      </c>
      <c r="D102" s="22" t="s">
        <v>12</v>
      </c>
      <c r="E102" s="22" t="s">
        <v>74</v>
      </c>
      <c r="F102" s="22" t="s">
        <v>22</v>
      </c>
      <c r="G102" s="22" t="s">
        <v>44</v>
      </c>
      <c r="H102" s="27"/>
      <c r="I102" s="35">
        <v>216000</v>
      </c>
      <c r="J102" s="100">
        <v>216000</v>
      </c>
      <c r="K102" s="34">
        <f>I102-J102</f>
        <v>0</v>
      </c>
      <c r="L102" s="24"/>
      <c r="M102" s="182"/>
      <c r="N102" s="183"/>
      <c r="O102" s="30">
        <f t="shared" si="39"/>
        <v>0</v>
      </c>
      <c r="P102" s="31">
        <f>J102/I102*100</f>
        <v>100</v>
      </c>
      <c r="Q102" s="338"/>
      <c r="R102" s="339"/>
      <c r="Z102" s="1"/>
      <c r="AA102" s="1"/>
      <c r="AB102" s="1"/>
      <c r="AC102" s="1"/>
      <c r="AD102" s="1"/>
    </row>
    <row r="103" spans="1:50" ht="18.75" x14ac:dyDescent="0.25">
      <c r="A103" s="99" t="s">
        <v>113</v>
      </c>
      <c r="B103" s="22" t="s">
        <v>9</v>
      </c>
      <c r="C103" s="22" t="s">
        <v>12</v>
      </c>
      <c r="D103" s="22" t="s">
        <v>12</v>
      </c>
      <c r="E103" s="22" t="s">
        <v>74</v>
      </c>
      <c r="F103" s="22" t="s">
        <v>22</v>
      </c>
      <c r="G103" s="22" t="s">
        <v>114</v>
      </c>
      <c r="H103" s="22"/>
      <c r="I103" s="35">
        <v>167076</v>
      </c>
      <c r="J103" s="100">
        <v>0</v>
      </c>
      <c r="K103" s="34">
        <f>I103-J103</f>
        <v>167076</v>
      </c>
      <c r="L103" s="24" t="e">
        <f>#REF!</f>
        <v>#REF!</v>
      </c>
      <c r="M103" s="182"/>
      <c r="N103" s="183"/>
      <c r="O103" s="25">
        <f t="shared" si="39"/>
        <v>0</v>
      </c>
      <c r="P103" s="26">
        <f>J103/I103*100</f>
        <v>0</v>
      </c>
      <c r="Q103" s="331"/>
      <c r="R103" s="331"/>
    </row>
    <row r="104" spans="1:50" s="2" customFormat="1" ht="19.5" customHeight="1" x14ac:dyDescent="0.3">
      <c r="A104" s="333" t="s">
        <v>60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5"/>
      <c r="Q104" s="340"/>
      <c r="R104" s="340"/>
    </row>
    <row r="105" spans="1:50" ht="78" x14ac:dyDescent="0.25">
      <c r="A105" s="51" t="s">
        <v>8</v>
      </c>
      <c r="B105" s="52" t="s">
        <v>9</v>
      </c>
      <c r="C105" s="52"/>
      <c r="D105" s="52"/>
      <c r="E105" s="52"/>
      <c r="F105" s="52"/>
      <c r="G105" s="52"/>
      <c r="H105" s="52"/>
      <c r="I105" s="53">
        <f>I106+I120+I127+I132+I130+I137+I141+I144+I139</f>
        <v>786959.98</v>
      </c>
      <c r="J105" s="53">
        <f>J106+J120+J127+J132+J130+J144+J137+J141+J139</f>
        <v>205390.93999999997</v>
      </c>
      <c r="K105" s="53">
        <f>K106+K120+K127+K132+K130+K137+K141+K144+K139</f>
        <v>581569.04</v>
      </c>
      <c r="L105" s="53" t="e">
        <f t="shared" ref="L105:N105" si="54">L106+L120</f>
        <v>#REF!</v>
      </c>
      <c r="M105" s="53" t="e">
        <f t="shared" si="54"/>
        <v>#REF!</v>
      </c>
      <c r="N105" s="53" t="e">
        <f t="shared" si="54"/>
        <v>#REF!</v>
      </c>
      <c r="O105" s="53">
        <f>I105-J105-K105</f>
        <v>0</v>
      </c>
      <c r="P105" s="54">
        <f t="shared" ref="P105:P120" si="55">J105/I105*100</f>
        <v>26.099286522803862</v>
      </c>
      <c r="Q105" s="331"/>
      <c r="R105" s="331"/>
    </row>
    <row r="106" spans="1:50" ht="19.5" x14ac:dyDescent="0.25">
      <c r="A106" s="173" t="s">
        <v>11</v>
      </c>
      <c r="B106" s="8" t="s">
        <v>9</v>
      </c>
      <c r="C106" s="8" t="s">
        <v>12</v>
      </c>
      <c r="D106" s="8"/>
      <c r="E106" s="8"/>
      <c r="F106" s="8"/>
      <c r="G106" s="8"/>
      <c r="H106" s="8"/>
      <c r="I106" s="9">
        <f>I107+I111+I114+I117+I109+I146</f>
        <v>542217.12</v>
      </c>
      <c r="J106" s="9">
        <f>J107+J111+J114+J117+J109+J146</f>
        <v>187115.36</v>
      </c>
      <c r="K106" s="9">
        <f>K107+K111+K114+K117+K109+K146</f>
        <v>355101.76</v>
      </c>
      <c r="L106" s="10" t="e">
        <f>L107+#REF!</f>
        <v>#REF!</v>
      </c>
      <c r="M106" s="197"/>
      <c r="N106" s="198"/>
      <c r="O106" s="11">
        <f>I106-J106-K106</f>
        <v>0</v>
      </c>
      <c r="P106" s="12">
        <f t="shared" si="55"/>
        <v>34.509305054772156</v>
      </c>
      <c r="Q106" s="331"/>
      <c r="R106" s="331"/>
    </row>
    <row r="107" spans="1:50" ht="120.75" customHeight="1" x14ac:dyDescent="0.25">
      <c r="A107" s="190" t="s">
        <v>61</v>
      </c>
      <c r="B107" s="41" t="s">
        <v>9</v>
      </c>
      <c r="C107" s="41" t="s">
        <v>12</v>
      </c>
      <c r="D107" s="41" t="s">
        <v>14</v>
      </c>
      <c r="E107" s="41" t="s">
        <v>62</v>
      </c>
      <c r="F107" s="41"/>
      <c r="G107" s="41"/>
      <c r="H107" s="41"/>
      <c r="I107" s="17">
        <f>I108</f>
        <v>13261.15</v>
      </c>
      <c r="J107" s="17">
        <f t="shared" ref="J107:L109" si="56">J108</f>
        <v>5995.43</v>
      </c>
      <c r="K107" s="17">
        <f t="shared" si="56"/>
        <v>7265.7199999999993</v>
      </c>
      <c r="L107" s="18" t="e">
        <f t="shared" si="56"/>
        <v>#REF!</v>
      </c>
      <c r="M107" s="186"/>
      <c r="N107" s="187"/>
      <c r="O107" s="20">
        <f>I107-J107-K107</f>
        <v>0</v>
      </c>
      <c r="P107" s="21">
        <f t="shared" si="55"/>
        <v>45.210483253714798</v>
      </c>
      <c r="Q107" s="331"/>
      <c r="R107" s="331"/>
      <c r="S107" s="15"/>
    </row>
    <row r="108" spans="1:50" ht="23.25" customHeight="1" x14ac:dyDescent="0.25">
      <c r="A108" s="99" t="s">
        <v>113</v>
      </c>
      <c r="B108" s="22" t="s">
        <v>9</v>
      </c>
      <c r="C108" s="22" t="s">
        <v>12</v>
      </c>
      <c r="D108" s="22" t="s">
        <v>14</v>
      </c>
      <c r="E108" s="43" t="s">
        <v>62</v>
      </c>
      <c r="F108" s="22" t="s">
        <v>63</v>
      </c>
      <c r="G108" s="22" t="s">
        <v>114</v>
      </c>
      <c r="H108" s="22"/>
      <c r="I108" s="35">
        <v>13261.15</v>
      </c>
      <c r="J108" s="100">
        <v>5995.43</v>
      </c>
      <c r="K108" s="34">
        <f>I108-J108</f>
        <v>7265.7199999999993</v>
      </c>
      <c r="L108" s="24" t="e">
        <f>#REF!</f>
        <v>#REF!</v>
      </c>
      <c r="M108" s="184"/>
      <c r="N108" s="185"/>
      <c r="O108" s="25">
        <f>I108-K108-J108</f>
        <v>0</v>
      </c>
      <c r="P108" s="26">
        <f t="shared" si="55"/>
        <v>45.210483253714798</v>
      </c>
      <c r="Q108" s="331"/>
      <c r="R108" s="331"/>
      <c r="Z108" s="15"/>
      <c r="AA108" s="15"/>
      <c r="AB108" s="15"/>
      <c r="AC108" s="15"/>
      <c r="AD108" s="15"/>
    </row>
    <row r="109" spans="1:50" ht="106.5" customHeight="1" x14ac:dyDescent="0.25">
      <c r="A109" s="190" t="s">
        <v>141</v>
      </c>
      <c r="B109" s="41" t="s">
        <v>9</v>
      </c>
      <c r="C109" s="41" t="s">
        <v>12</v>
      </c>
      <c r="D109" s="41" t="s">
        <v>14</v>
      </c>
      <c r="E109" s="41" t="s">
        <v>136</v>
      </c>
      <c r="F109" s="41"/>
      <c r="G109" s="41"/>
      <c r="H109" s="41"/>
      <c r="I109" s="17">
        <f>I110</f>
        <v>355955.97</v>
      </c>
      <c r="J109" s="17">
        <f t="shared" si="56"/>
        <v>74119.929999999993</v>
      </c>
      <c r="K109" s="17">
        <f t="shared" si="56"/>
        <v>281836.03999999998</v>
      </c>
      <c r="L109" s="18" t="e">
        <f t="shared" si="56"/>
        <v>#REF!</v>
      </c>
      <c r="M109" s="186"/>
      <c r="N109" s="187"/>
      <c r="O109" s="20">
        <f>I109-J109-K109</f>
        <v>0</v>
      </c>
      <c r="P109" s="21">
        <f t="shared" si="55"/>
        <v>20.822780412981974</v>
      </c>
      <c r="Q109" s="331"/>
      <c r="R109" s="331"/>
      <c r="Z109" s="15"/>
      <c r="AA109" s="15"/>
      <c r="AB109" s="15"/>
      <c r="AC109" s="15"/>
      <c r="AD109" s="15"/>
    </row>
    <row r="110" spans="1:50" ht="23.25" customHeight="1" x14ac:dyDescent="0.25">
      <c r="A110" s="99" t="s">
        <v>113</v>
      </c>
      <c r="B110" s="22" t="s">
        <v>9</v>
      </c>
      <c r="C110" s="22" t="s">
        <v>12</v>
      </c>
      <c r="D110" s="22" t="s">
        <v>14</v>
      </c>
      <c r="E110" s="43" t="s">
        <v>136</v>
      </c>
      <c r="F110" s="22" t="s">
        <v>63</v>
      </c>
      <c r="G110" s="22" t="s">
        <v>114</v>
      </c>
      <c r="H110" s="22"/>
      <c r="I110" s="35">
        <v>355955.97</v>
      </c>
      <c r="J110" s="100">
        <v>74119.929999999993</v>
      </c>
      <c r="K110" s="34">
        <f>I110-J110</f>
        <v>281836.03999999998</v>
      </c>
      <c r="L110" s="24" t="e">
        <f>#REF!</f>
        <v>#REF!</v>
      </c>
      <c r="M110" s="184"/>
      <c r="N110" s="185"/>
      <c r="O110" s="25">
        <f>I110-K110-J110</f>
        <v>0</v>
      </c>
      <c r="P110" s="26">
        <f t="shared" si="55"/>
        <v>20.822780412981974</v>
      </c>
      <c r="Q110" s="331"/>
      <c r="R110" s="331"/>
      <c r="Z110" s="15"/>
      <c r="AA110" s="15"/>
      <c r="AB110" s="15"/>
      <c r="AC110" s="15"/>
      <c r="AD110" s="15"/>
    </row>
    <row r="111" spans="1:50" s="2" customFormat="1" ht="80.25" customHeight="1" x14ac:dyDescent="0.25">
      <c r="A111" s="190" t="s">
        <v>117</v>
      </c>
      <c r="B111" s="41" t="s">
        <v>9</v>
      </c>
      <c r="C111" s="41" t="s">
        <v>12</v>
      </c>
      <c r="D111" s="41" t="s">
        <v>12</v>
      </c>
      <c r="E111" s="41" t="s">
        <v>90</v>
      </c>
      <c r="F111" s="41"/>
      <c r="G111" s="16"/>
      <c r="H111" s="16"/>
      <c r="I111" s="17">
        <f>I112+I113</f>
        <v>70000</v>
      </c>
      <c r="J111" s="17">
        <f t="shared" ref="J111:K111" si="57">J112+J113</f>
        <v>30000</v>
      </c>
      <c r="K111" s="17">
        <f t="shared" si="57"/>
        <v>40000</v>
      </c>
      <c r="L111" s="69"/>
      <c r="M111" s="186"/>
      <c r="N111" s="187"/>
      <c r="O111" s="20">
        <v>0</v>
      </c>
      <c r="P111" s="21">
        <f t="shared" si="55"/>
        <v>42.857142857142854</v>
      </c>
      <c r="Q111" s="331"/>
      <c r="R111" s="331"/>
      <c r="S111" s="1"/>
      <c r="T111" s="15"/>
      <c r="U111" s="15"/>
      <c r="V111" s="15"/>
      <c r="W111" s="15"/>
      <c r="X111" s="15"/>
      <c r="Y111" s="1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s="2" customFormat="1" ht="39.75" customHeight="1" x14ac:dyDescent="0.25">
      <c r="A112" s="175" t="s">
        <v>109</v>
      </c>
      <c r="B112" s="22" t="s">
        <v>9</v>
      </c>
      <c r="C112" s="22" t="s">
        <v>12</v>
      </c>
      <c r="D112" s="22" t="s">
        <v>12</v>
      </c>
      <c r="E112" s="43" t="s">
        <v>90</v>
      </c>
      <c r="F112" s="22" t="s">
        <v>63</v>
      </c>
      <c r="G112" s="22" t="s">
        <v>104</v>
      </c>
      <c r="H112" s="22"/>
      <c r="I112" s="35">
        <v>27000</v>
      </c>
      <c r="J112" s="100">
        <v>17000</v>
      </c>
      <c r="K112" s="35">
        <f>I112-J112</f>
        <v>10000</v>
      </c>
      <c r="L112" s="57"/>
      <c r="M112" s="188"/>
      <c r="N112" s="189"/>
      <c r="O112" s="25">
        <f>O113</f>
        <v>0</v>
      </c>
      <c r="P112" s="26">
        <f t="shared" si="55"/>
        <v>62.962962962962962</v>
      </c>
      <c r="Q112" s="331"/>
      <c r="R112" s="331"/>
      <c r="S112" s="1"/>
      <c r="T112" s="15"/>
      <c r="U112" s="15"/>
      <c r="V112" s="15"/>
      <c r="W112" s="15"/>
      <c r="X112" s="15"/>
      <c r="Y112" s="1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s="2" customFormat="1" ht="40.5" customHeight="1" x14ac:dyDescent="0.25">
      <c r="A113" s="175" t="s">
        <v>110</v>
      </c>
      <c r="B113" s="22" t="s">
        <v>9</v>
      </c>
      <c r="C113" s="22" t="s">
        <v>12</v>
      </c>
      <c r="D113" s="22" t="s">
        <v>12</v>
      </c>
      <c r="E113" s="43" t="s">
        <v>90</v>
      </c>
      <c r="F113" s="22" t="s">
        <v>63</v>
      </c>
      <c r="G113" s="22" t="s">
        <v>105</v>
      </c>
      <c r="H113" s="22"/>
      <c r="I113" s="35">
        <v>43000</v>
      </c>
      <c r="J113" s="100">
        <v>13000</v>
      </c>
      <c r="K113" s="35">
        <f>I113-J113</f>
        <v>30000</v>
      </c>
      <c r="L113" s="49"/>
      <c r="M113" s="188"/>
      <c r="N113" s="189"/>
      <c r="O113" s="25">
        <f>I113-J113-K113</f>
        <v>0</v>
      </c>
      <c r="P113" s="26">
        <f t="shared" si="55"/>
        <v>30.232558139534881</v>
      </c>
      <c r="Q113" s="331"/>
      <c r="R113" s="331"/>
      <c r="S113" s="1"/>
      <c r="T113" s="15"/>
      <c r="U113" s="15"/>
      <c r="V113" s="15"/>
      <c r="W113" s="15"/>
      <c r="X113" s="15"/>
      <c r="Y113" s="1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" customFormat="1" ht="91.5" customHeight="1" x14ac:dyDescent="0.25">
      <c r="A114" s="190" t="s">
        <v>118</v>
      </c>
      <c r="B114" s="41" t="s">
        <v>9</v>
      </c>
      <c r="C114" s="41" t="s">
        <v>12</v>
      </c>
      <c r="D114" s="41" t="s">
        <v>12</v>
      </c>
      <c r="E114" s="16" t="s">
        <v>115</v>
      </c>
      <c r="F114" s="41"/>
      <c r="G114" s="16"/>
      <c r="H114" s="16"/>
      <c r="I114" s="17">
        <f>I115+I116</f>
        <v>13000</v>
      </c>
      <c r="J114" s="17">
        <f t="shared" ref="J114:K114" si="58">J115+J116</f>
        <v>8000</v>
      </c>
      <c r="K114" s="17">
        <f t="shared" si="58"/>
        <v>5000</v>
      </c>
      <c r="L114" s="69"/>
      <c r="M114" s="186"/>
      <c r="N114" s="187"/>
      <c r="O114" s="20">
        <v>0</v>
      </c>
      <c r="P114" s="21">
        <f t="shared" si="55"/>
        <v>61.53846153846154</v>
      </c>
      <c r="Q114" s="331"/>
      <c r="R114" s="331"/>
      <c r="S114" s="1"/>
      <c r="T114" s="15"/>
      <c r="U114" s="15"/>
      <c r="V114" s="15"/>
      <c r="W114" s="15"/>
      <c r="X114" s="15"/>
      <c r="Y114" s="1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" customFormat="1" ht="39.75" customHeight="1" x14ac:dyDescent="0.25">
      <c r="A115" s="175" t="s">
        <v>109</v>
      </c>
      <c r="B115" s="22" t="s">
        <v>9</v>
      </c>
      <c r="C115" s="22" t="s">
        <v>12</v>
      </c>
      <c r="D115" s="22" t="s">
        <v>12</v>
      </c>
      <c r="E115" s="43" t="s">
        <v>115</v>
      </c>
      <c r="F115" s="22" t="s">
        <v>63</v>
      </c>
      <c r="G115" s="22" t="s">
        <v>104</v>
      </c>
      <c r="H115" s="22"/>
      <c r="I115" s="35">
        <v>10000</v>
      </c>
      <c r="J115" s="100">
        <v>5000</v>
      </c>
      <c r="K115" s="35">
        <f>I115-J115</f>
        <v>5000</v>
      </c>
      <c r="L115" s="57"/>
      <c r="M115" s="188"/>
      <c r="N115" s="189"/>
      <c r="O115" s="25">
        <f>O116</f>
        <v>0</v>
      </c>
      <c r="P115" s="26">
        <f t="shared" si="55"/>
        <v>50</v>
      </c>
      <c r="Q115" s="331"/>
      <c r="R115" s="331"/>
      <c r="S115" s="1"/>
      <c r="T115" s="15"/>
      <c r="U115" s="15"/>
      <c r="V115" s="15"/>
      <c r="W115" s="15"/>
      <c r="X115" s="15"/>
      <c r="Y115" s="1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" customFormat="1" ht="40.5" customHeight="1" x14ac:dyDescent="0.25">
      <c r="A116" s="175" t="s">
        <v>110</v>
      </c>
      <c r="B116" s="22" t="s">
        <v>9</v>
      </c>
      <c r="C116" s="22" t="s">
        <v>12</v>
      </c>
      <c r="D116" s="22" t="s">
        <v>12</v>
      </c>
      <c r="E116" s="43" t="s">
        <v>115</v>
      </c>
      <c r="F116" s="22" t="s">
        <v>63</v>
      </c>
      <c r="G116" s="22" t="s">
        <v>105</v>
      </c>
      <c r="H116" s="22"/>
      <c r="I116" s="35">
        <v>3000</v>
      </c>
      <c r="J116" s="100">
        <v>3000</v>
      </c>
      <c r="K116" s="35">
        <f>I116-J116</f>
        <v>0</v>
      </c>
      <c r="L116" s="49"/>
      <c r="M116" s="188"/>
      <c r="N116" s="189"/>
      <c r="O116" s="25">
        <f>I116-J116-K116</f>
        <v>0</v>
      </c>
      <c r="P116" s="26">
        <f t="shared" si="55"/>
        <v>100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88.5" customHeight="1" x14ac:dyDescent="0.25">
      <c r="A117" s="190" t="s">
        <v>119</v>
      </c>
      <c r="B117" s="41" t="s">
        <v>9</v>
      </c>
      <c r="C117" s="41" t="s">
        <v>12</v>
      </c>
      <c r="D117" s="41" t="s">
        <v>85</v>
      </c>
      <c r="E117" s="16" t="s">
        <v>116</v>
      </c>
      <c r="F117" s="41"/>
      <c r="G117" s="16"/>
      <c r="H117" s="16"/>
      <c r="I117" s="17">
        <f>I118+I119</f>
        <v>27000</v>
      </c>
      <c r="J117" s="17">
        <f t="shared" ref="J117:K117" si="59">J118+J119</f>
        <v>6000</v>
      </c>
      <c r="K117" s="17">
        <f t="shared" si="59"/>
        <v>21000</v>
      </c>
      <c r="L117" s="69"/>
      <c r="M117" s="186"/>
      <c r="N117" s="187"/>
      <c r="O117" s="20">
        <v>0</v>
      </c>
      <c r="P117" s="21">
        <f t="shared" si="55"/>
        <v>22.222222222222221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39.75" customHeight="1" x14ac:dyDescent="0.25">
      <c r="A118" s="175" t="s">
        <v>109</v>
      </c>
      <c r="B118" s="22" t="s">
        <v>9</v>
      </c>
      <c r="C118" s="22" t="s">
        <v>12</v>
      </c>
      <c r="D118" s="22" t="s">
        <v>85</v>
      </c>
      <c r="E118" s="43" t="s">
        <v>116</v>
      </c>
      <c r="F118" s="22" t="s">
        <v>63</v>
      </c>
      <c r="G118" s="22" t="s">
        <v>104</v>
      </c>
      <c r="H118" s="22"/>
      <c r="I118" s="35">
        <v>7000</v>
      </c>
      <c r="J118" s="100">
        <v>3000</v>
      </c>
      <c r="K118" s="35">
        <f>I118-J118</f>
        <v>4000</v>
      </c>
      <c r="L118" s="57"/>
      <c r="M118" s="188"/>
      <c r="N118" s="189"/>
      <c r="O118" s="25">
        <f>O119</f>
        <v>0</v>
      </c>
      <c r="P118" s="26">
        <f t="shared" si="55"/>
        <v>42.857142857142854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75" t="s">
        <v>110</v>
      </c>
      <c r="B119" s="22" t="s">
        <v>9</v>
      </c>
      <c r="C119" s="22" t="s">
        <v>12</v>
      </c>
      <c r="D119" s="22" t="s">
        <v>85</v>
      </c>
      <c r="E119" s="43" t="s">
        <v>116</v>
      </c>
      <c r="F119" s="22" t="s">
        <v>63</v>
      </c>
      <c r="G119" s="22" t="s">
        <v>105</v>
      </c>
      <c r="H119" s="22"/>
      <c r="I119" s="35">
        <v>20000</v>
      </c>
      <c r="J119" s="100">
        <v>3000</v>
      </c>
      <c r="K119" s="35">
        <f>I119-J119</f>
        <v>17000</v>
      </c>
      <c r="L119" s="49"/>
      <c r="M119" s="188"/>
      <c r="N119" s="189"/>
      <c r="O119" s="25">
        <f>I119-J119-K119</f>
        <v>0</v>
      </c>
      <c r="P119" s="26">
        <f t="shared" si="55"/>
        <v>15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59.25" customHeight="1" x14ac:dyDescent="0.25">
      <c r="A120" s="86" t="s">
        <v>67</v>
      </c>
      <c r="B120" s="41" t="s">
        <v>9</v>
      </c>
      <c r="C120" s="41" t="s">
        <v>68</v>
      </c>
      <c r="D120" s="41" t="s">
        <v>69</v>
      </c>
      <c r="E120" s="41" t="s">
        <v>70</v>
      </c>
      <c r="F120" s="41"/>
      <c r="G120" s="41"/>
      <c r="H120" s="41"/>
      <c r="I120" s="17">
        <f>I121+I123+I125+I126+I122+I124</f>
        <v>65000</v>
      </c>
      <c r="J120" s="17">
        <f>J121+J123+J125+J126+J122+J124</f>
        <v>15600</v>
      </c>
      <c r="K120" s="17">
        <f>K121+K123+K125+K126+K122+K124</f>
        <v>49400</v>
      </c>
      <c r="L120" s="17" t="e">
        <f>L121+#REF!+#REF!</f>
        <v>#REF!</v>
      </c>
      <c r="M120" s="17" t="e">
        <f>M121+#REF!+#REF!</f>
        <v>#REF!</v>
      </c>
      <c r="N120" s="17" t="e">
        <f>N121+#REF!+#REF!</f>
        <v>#REF!</v>
      </c>
      <c r="O120" s="89">
        <f>I120-J120-K120</f>
        <v>0</v>
      </c>
      <c r="P120" s="21">
        <f t="shared" si="55"/>
        <v>24</v>
      </c>
      <c r="Q120" s="331"/>
      <c r="R120" s="33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18.75" x14ac:dyDescent="0.25">
      <c r="A121" s="175" t="s">
        <v>43</v>
      </c>
      <c r="B121" s="22" t="s">
        <v>9</v>
      </c>
      <c r="C121" s="22" t="s">
        <v>68</v>
      </c>
      <c r="D121" s="22" t="s">
        <v>69</v>
      </c>
      <c r="E121" s="22" t="s">
        <v>70</v>
      </c>
      <c r="F121" s="22" t="s">
        <v>63</v>
      </c>
      <c r="G121" s="22" t="s">
        <v>44</v>
      </c>
      <c r="H121" s="22"/>
      <c r="I121" s="35">
        <v>30600</v>
      </c>
      <c r="J121" s="35">
        <v>15600</v>
      </c>
      <c r="K121" s="23">
        <f>I121-J121</f>
        <v>15000</v>
      </c>
      <c r="L121" s="93"/>
      <c r="M121" s="188"/>
      <c r="N121" s="189"/>
      <c r="O121" s="25">
        <f>I121-J121-K121</f>
        <v>0</v>
      </c>
      <c r="P121" s="26">
        <f>J121/I121*100</f>
        <v>50.980392156862742</v>
      </c>
      <c r="Q121" s="331"/>
      <c r="R121" s="331"/>
      <c r="S121" s="15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18.75" x14ac:dyDescent="0.25">
      <c r="A122" s="175" t="s">
        <v>123</v>
      </c>
      <c r="B122" s="22" t="s">
        <v>9</v>
      </c>
      <c r="C122" s="22" t="s">
        <v>68</v>
      </c>
      <c r="D122" s="22" t="s">
        <v>69</v>
      </c>
      <c r="E122" s="22" t="s">
        <v>70</v>
      </c>
      <c r="F122" s="22" t="s">
        <v>63</v>
      </c>
      <c r="G122" s="22" t="s">
        <v>124</v>
      </c>
      <c r="H122" s="22"/>
      <c r="I122" s="35">
        <v>7500</v>
      </c>
      <c r="J122" s="100">
        <v>0</v>
      </c>
      <c r="K122" s="23">
        <f t="shared" ref="K122:K126" si="60">I122-J122</f>
        <v>7500</v>
      </c>
      <c r="L122" s="93"/>
      <c r="M122" s="188"/>
      <c r="N122" s="189"/>
      <c r="O122" s="25">
        <f t="shared" ref="O122:O134" si="61">I122-J122-K122</f>
        <v>0</v>
      </c>
      <c r="P122" s="26">
        <f>J122/I122*100</f>
        <v>0</v>
      </c>
      <c r="Q122" s="338"/>
      <c r="R122" s="339"/>
      <c r="S122" s="15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7.5" x14ac:dyDescent="0.25">
      <c r="A123" s="175" t="s">
        <v>106</v>
      </c>
      <c r="B123" s="22" t="s">
        <v>9</v>
      </c>
      <c r="C123" s="22" t="s">
        <v>68</v>
      </c>
      <c r="D123" s="22" t="s">
        <v>69</v>
      </c>
      <c r="E123" s="22" t="s">
        <v>70</v>
      </c>
      <c r="F123" s="22" t="s">
        <v>63</v>
      </c>
      <c r="G123" s="22" t="s">
        <v>101</v>
      </c>
      <c r="H123" s="22"/>
      <c r="I123" s="35">
        <v>2500</v>
      </c>
      <c r="J123" s="100">
        <v>0</v>
      </c>
      <c r="K123" s="23">
        <f t="shared" si="60"/>
        <v>2500</v>
      </c>
      <c r="L123" s="93"/>
      <c r="M123" s="188"/>
      <c r="N123" s="189"/>
      <c r="O123" s="25">
        <f t="shared" si="61"/>
        <v>0</v>
      </c>
      <c r="P123" s="26">
        <v>0</v>
      </c>
      <c r="Q123" s="331"/>
      <c r="R123" s="33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18.75" x14ac:dyDescent="0.25">
      <c r="A124" s="175" t="s">
        <v>108</v>
      </c>
      <c r="B124" s="22" t="s">
        <v>9</v>
      </c>
      <c r="C124" s="22" t="s">
        <v>68</v>
      </c>
      <c r="D124" s="22" t="s">
        <v>69</v>
      </c>
      <c r="E124" s="22" t="s">
        <v>70</v>
      </c>
      <c r="F124" s="22" t="s">
        <v>63</v>
      </c>
      <c r="G124" s="22" t="s">
        <v>103</v>
      </c>
      <c r="H124" s="22"/>
      <c r="I124" s="35">
        <v>0</v>
      </c>
      <c r="J124" s="100">
        <v>0</v>
      </c>
      <c r="K124" s="23">
        <f t="shared" si="60"/>
        <v>0</v>
      </c>
      <c r="L124" s="93"/>
      <c r="M124" s="188"/>
      <c r="N124" s="189"/>
      <c r="O124" s="25">
        <f t="shared" si="61"/>
        <v>0</v>
      </c>
      <c r="P124" s="26"/>
      <c r="Q124" s="212"/>
      <c r="R124" s="21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37.5" customHeight="1" x14ac:dyDescent="0.25">
      <c r="A125" s="175" t="s">
        <v>109</v>
      </c>
      <c r="B125" s="22" t="s">
        <v>9</v>
      </c>
      <c r="C125" s="22" t="s">
        <v>68</v>
      </c>
      <c r="D125" s="22" t="s">
        <v>69</v>
      </c>
      <c r="E125" s="22" t="s">
        <v>70</v>
      </c>
      <c r="F125" s="22" t="s">
        <v>63</v>
      </c>
      <c r="G125" s="22" t="s">
        <v>104</v>
      </c>
      <c r="H125" s="22"/>
      <c r="I125" s="35">
        <v>14400</v>
      </c>
      <c r="J125" s="100">
        <v>0</v>
      </c>
      <c r="K125" s="23">
        <f t="shared" si="60"/>
        <v>14400</v>
      </c>
      <c r="L125" s="93"/>
      <c r="M125" s="188"/>
      <c r="N125" s="189"/>
      <c r="O125" s="25">
        <f t="shared" si="61"/>
        <v>0</v>
      </c>
      <c r="P125" s="26">
        <v>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37.5" x14ac:dyDescent="0.25">
      <c r="A126" s="175" t="s">
        <v>110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105</v>
      </c>
      <c r="H126" s="22"/>
      <c r="I126" s="35">
        <v>10000</v>
      </c>
      <c r="J126" s="100">
        <v>0</v>
      </c>
      <c r="K126" s="23">
        <f t="shared" si="60"/>
        <v>10000</v>
      </c>
      <c r="L126" s="93"/>
      <c r="M126" s="188"/>
      <c r="N126" s="189"/>
      <c r="O126" s="25">
        <f t="shared" si="61"/>
        <v>0</v>
      </c>
      <c r="P126" s="26">
        <f t="shared" ref="P126:P147" si="62">J126/I126*100</f>
        <v>0</v>
      </c>
      <c r="Q126" s="331"/>
      <c r="R126" s="33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82.5" hidden="1" customHeight="1" x14ac:dyDescent="0.25">
      <c r="A127" s="190" t="s">
        <v>125</v>
      </c>
      <c r="B127" s="41" t="s">
        <v>9</v>
      </c>
      <c r="C127" s="41" t="s">
        <v>12</v>
      </c>
      <c r="D127" s="41" t="s">
        <v>12</v>
      </c>
      <c r="E127" s="41" t="s">
        <v>126</v>
      </c>
      <c r="F127" s="41"/>
      <c r="G127" s="16"/>
      <c r="H127" s="16"/>
      <c r="I127" s="17">
        <f>I128+I129</f>
        <v>0</v>
      </c>
      <c r="J127" s="17">
        <f t="shared" ref="J127:K127" si="63">J128+J129</f>
        <v>0</v>
      </c>
      <c r="K127" s="17">
        <f t="shared" si="63"/>
        <v>0</v>
      </c>
      <c r="L127" s="69"/>
      <c r="M127" s="186"/>
      <c r="N127" s="187"/>
      <c r="O127" s="20">
        <f t="shared" si="61"/>
        <v>0</v>
      </c>
      <c r="P127" s="21" t="e">
        <f t="shared" si="62"/>
        <v>#DIV/0!</v>
      </c>
      <c r="Q127" s="321"/>
      <c r="R127" s="32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18.75" hidden="1" x14ac:dyDescent="0.25">
      <c r="A128" s="175" t="s">
        <v>27</v>
      </c>
      <c r="B128" s="22" t="s">
        <v>9</v>
      </c>
      <c r="C128" s="22" t="s">
        <v>12</v>
      </c>
      <c r="D128" s="22" t="s">
        <v>12</v>
      </c>
      <c r="E128" s="43" t="s">
        <v>126</v>
      </c>
      <c r="F128" s="22" t="s">
        <v>63</v>
      </c>
      <c r="G128" s="22" t="s">
        <v>28</v>
      </c>
      <c r="H128" s="22"/>
      <c r="I128" s="121">
        <v>0</v>
      </c>
      <c r="J128" s="122">
        <v>0</v>
      </c>
      <c r="K128" s="35">
        <f>I128-J128</f>
        <v>0</v>
      </c>
      <c r="L128" s="57"/>
      <c r="M128" s="188"/>
      <c r="N128" s="189"/>
      <c r="O128" s="25">
        <f t="shared" si="61"/>
        <v>0</v>
      </c>
      <c r="P128" s="26" t="e">
        <f t="shared" si="62"/>
        <v>#DIV/0!</v>
      </c>
      <c r="Q128" s="325"/>
      <c r="R128" s="326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hidden="1" x14ac:dyDescent="0.25">
      <c r="A129" s="99" t="s">
        <v>31</v>
      </c>
      <c r="B129" s="22" t="s">
        <v>9</v>
      </c>
      <c r="C129" s="22" t="s">
        <v>12</v>
      </c>
      <c r="D129" s="22" t="s">
        <v>12</v>
      </c>
      <c r="E129" s="43" t="s">
        <v>126</v>
      </c>
      <c r="F129" s="22" t="s">
        <v>63</v>
      </c>
      <c r="G129" s="22" t="s">
        <v>32</v>
      </c>
      <c r="H129" s="22"/>
      <c r="I129" s="121">
        <v>0</v>
      </c>
      <c r="J129" s="122">
        <v>0</v>
      </c>
      <c r="K129" s="35">
        <f>I129-J129</f>
        <v>0</v>
      </c>
      <c r="L129" s="49"/>
      <c r="M129" s="188"/>
      <c r="N129" s="189"/>
      <c r="O129" s="25">
        <f t="shared" si="61"/>
        <v>0</v>
      </c>
      <c r="P129" s="26" t="e">
        <f t="shared" si="62"/>
        <v>#DIV/0!</v>
      </c>
      <c r="Q129" s="323"/>
      <c r="R129" s="32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65.25" customHeight="1" x14ac:dyDescent="0.25">
      <c r="A130" s="199" t="s">
        <v>142</v>
      </c>
      <c r="B130" s="104" t="s">
        <v>9</v>
      </c>
      <c r="C130" s="104" t="s">
        <v>68</v>
      </c>
      <c r="D130" s="104" t="s">
        <v>14</v>
      </c>
      <c r="E130" s="104" t="s">
        <v>137</v>
      </c>
      <c r="F130" s="104"/>
      <c r="G130" s="105"/>
      <c r="H130" s="105"/>
      <c r="I130" s="17">
        <f>I131</f>
        <v>40000</v>
      </c>
      <c r="J130" s="17">
        <f t="shared" ref="J130:K130" si="64">J131</f>
        <v>0</v>
      </c>
      <c r="K130" s="17">
        <f t="shared" si="64"/>
        <v>40000</v>
      </c>
      <c r="L130" s="115"/>
      <c r="M130" s="195"/>
      <c r="N130" s="196"/>
      <c r="O130" s="20">
        <f>I130-J130-K130</f>
        <v>0</v>
      </c>
      <c r="P130" s="21">
        <f t="shared" si="62"/>
        <v>0</v>
      </c>
      <c r="Q130" s="321"/>
      <c r="R130" s="32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21" customHeight="1" x14ac:dyDescent="0.25">
      <c r="A131" s="175" t="s">
        <v>109</v>
      </c>
      <c r="B131" s="112" t="s">
        <v>9</v>
      </c>
      <c r="C131" s="112" t="s">
        <v>68</v>
      </c>
      <c r="D131" s="112" t="s">
        <v>14</v>
      </c>
      <c r="E131" s="113" t="s">
        <v>137</v>
      </c>
      <c r="F131" s="112" t="s">
        <v>63</v>
      </c>
      <c r="G131" s="112" t="s">
        <v>104</v>
      </c>
      <c r="H131" s="112"/>
      <c r="I131" s="35">
        <v>40000</v>
      </c>
      <c r="J131" s="100">
        <v>0</v>
      </c>
      <c r="K131" s="35">
        <f t="shared" ref="K131:K133" si="65">I131-J131</f>
        <v>40000</v>
      </c>
      <c r="L131" s="114"/>
      <c r="M131" s="188"/>
      <c r="N131" s="189"/>
      <c r="O131" s="25">
        <f t="shared" si="61"/>
        <v>0</v>
      </c>
      <c r="P131" s="26">
        <f t="shared" si="62"/>
        <v>0</v>
      </c>
      <c r="Q131" s="323"/>
      <c r="R131" s="3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60" hidden="1" customHeight="1" x14ac:dyDescent="0.25">
      <c r="A132" s="199" t="s">
        <v>143</v>
      </c>
      <c r="B132" s="104" t="s">
        <v>9</v>
      </c>
      <c r="C132" s="104" t="s">
        <v>12</v>
      </c>
      <c r="D132" s="104" t="s">
        <v>14</v>
      </c>
      <c r="E132" s="104" t="s">
        <v>138</v>
      </c>
      <c r="F132" s="104"/>
      <c r="G132" s="104"/>
      <c r="H132" s="104"/>
      <c r="I132" s="106">
        <f>I133</f>
        <v>0</v>
      </c>
      <c r="J132" s="106">
        <f t="shared" ref="J132:K132" si="66">J133</f>
        <v>0</v>
      </c>
      <c r="K132" s="106">
        <f t="shared" si="66"/>
        <v>0</v>
      </c>
      <c r="L132" s="115"/>
      <c r="M132" s="195"/>
      <c r="N132" s="196"/>
      <c r="O132" s="20">
        <f>I132-J132-K132</f>
        <v>0</v>
      </c>
      <c r="P132" s="21" t="e">
        <f t="shared" si="62"/>
        <v>#DIV/0!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27.75" hidden="1" customHeight="1" x14ac:dyDescent="0.25">
      <c r="A133" s="99" t="s">
        <v>47</v>
      </c>
      <c r="B133" s="112" t="s">
        <v>9</v>
      </c>
      <c r="C133" s="112" t="s">
        <v>12</v>
      </c>
      <c r="D133" s="112" t="s">
        <v>14</v>
      </c>
      <c r="E133" s="113" t="s">
        <v>138</v>
      </c>
      <c r="F133" s="112" t="s">
        <v>63</v>
      </c>
      <c r="G133" s="112" t="s">
        <v>48</v>
      </c>
      <c r="H133" s="112"/>
      <c r="I133" s="118">
        <v>0</v>
      </c>
      <c r="J133" s="158">
        <v>0</v>
      </c>
      <c r="K133" s="118">
        <f t="shared" si="65"/>
        <v>0</v>
      </c>
      <c r="L133" s="114"/>
      <c r="M133" s="188"/>
      <c r="N133" s="189"/>
      <c r="O133" s="119">
        <f t="shared" si="61"/>
        <v>0</v>
      </c>
      <c r="P133" s="120" t="e">
        <f t="shared" si="62"/>
        <v>#DIV/0!</v>
      </c>
      <c r="Q133" s="323"/>
      <c r="R133" s="3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82.5" hidden="1" customHeight="1" x14ac:dyDescent="0.25">
      <c r="A134" s="190" t="s">
        <v>127</v>
      </c>
      <c r="B134" s="104" t="s">
        <v>9</v>
      </c>
      <c r="C134" s="104" t="s">
        <v>12</v>
      </c>
      <c r="D134" s="104" t="s">
        <v>85</v>
      </c>
      <c r="E134" s="104" t="s">
        <v>86</v>
      </c>
      <c r="F134" s="104"/>
      <c r="G134" s="105"/>
      <c r="H134" s="105"/>
      <c r="I134" s="106">
        <f>I135+I136</f>
        <v>0</v>
      </c>
      <c r="J134" s="106">
        <f>J135+J136</f>
        <v>0</v>
      </c>
      <c r="K134" s="106">
        <f>K135+K136</f>
        <v>0</v>
      </c>
      <c r="L134" s="106">
        <f t="shared" ref="L134:N134" si="67">L135</f>
        <v>0</v>
      </c>
      <c r="M134" s="106">
        <f t="shared" si="67"/>
        <v>0</v>
      </c>
      <c r="N134" s="106">
        <f t="shared" si="67"/>
        <v>0</v>
      </c>
      <c r="O134" s="107">
        <f t="shared" si="61"/>
        <v>0</v>
      </c>
      <c r="P134" s="108" t="e">
        <f t="shared" si="62"/>
        <v>#DIV/0!</v>
      </c>
      <c r="Q134" s="321"/>
      <c r="R134" s="3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18.75" hidden="1" x14ac:dyDescent="0.25">
      <c r="A135" s="175" t="s">
        <v>41</v>
      </c>
      <c r="B135" s="22" t="s">
        <v>9</v>
      </c>
      <c r="C135" s="22" t="s">
        <v>12</v>
      </c>
      <c r="D135" s="22" t="s">
        <v>85</v>
      </c>
      <c r="E135" s="22" t="s">
        <v>86</v>
      </c>
      <c r="F135" s="22" t="s">
        <v>63</v>
      </c>
      <c r="G135" s="22" t="s">
        <v>42</v>
      </c>
      <c r="H135" s="22"/>
      <c r="I135" s="121"/>
      <c r="J135" s="121"/>
      <c r="K135" s="23">
        <f>I135-J135</f>
        <v>0</v>
      </c>
      <c r="L135" s="109"/>
      <c r="M135" s="110"/>
      <c r="N135" s="111"/>
      <c r="O135" s="25">
        <f>I135-J135-K135</f>
        <v>0</v>
      </c>
      <c r="P135" s="26" t="e">
        <f t="shared" si="62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18.75" hidden="1" x14ac:dyDescent="0.25">
      <c r="A136" s="99" t="s">
        <v>47</v>
      </c>
      <c r="B136" s="22" t="s">
        <v>9</v>
      </c>
      <c r="C136" s="22" t="s">
        <v>12</v>
      </c>
      <c r="D136" s="22" t="s">
        <v>85</v>
      </c>
      <c r="E136" s="22" t="s">
        <v>86</v>
      </c>
      <c r="F136" s="22" t="s">
        <v>63</v>
      </c>
      <c r="G136" s="22" t="s">
        <v>48</v>
      </c>
      <c r="H136" s="22"/>
      <c r="I136" s="121"/>
      <c r="J136" s="121">
        <v>0</v>
      </c>
      <c r="K136" s="23">
        <f>I136-J136</f>
        <v>0</v>
      </c>
      <c r="L136" s="109"/>
      <c r="M136" s="110"/>
      <c r="N136" s="111"/>
      <c r="O136" s="25">
        <f t="shared" ref="O136" si="68">I136-J136-K136</f>
        <v>0</v>
      </c>
      <c r="P136" s="26" t="e">
        <f t="shared" si="62"/>
        <v>#DIV/0!</v>
      </c>
      <c r="Q136" s="210"/>
      <c r="R136" s="21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60" hidden="1" customHeight="1" x14ac:dyDescent="0.25">
      <c r="A137" s="40" t="s">
        <v>139</v>
      </c>
      <c r="B137" s="104" t="s">
        <v>9</v>
      </c>
      <c r="C137" s="104" t="s">
        <v>12</v>
      </c>
      <c r="D137" s="104" t="s">
        <v>14</v>
      </c>
      <c r="E137" s="104" t="s">
        <v>135</v>
      </c>
      <c r="F137" s="104"/>
      <c r="G137" s="104"/>
      <c r="H137" s="104"/>
      <c r="I137" s="106">
        <f>I138</f>
        <v>0</v>
      </c>
      <c r="J137" s="106">
        <f t="shared" ref="J137:K137" si="69">J138</f>
        <v>0</v>
      </c>
      <c r="K137" s="106">
        <f t="shared" si="69"/>
        <v>0</v>
      </c>
      <c r="L137" s="115"/>
      <c r="M137" s="195"/>
      <c r="N137" s="196"/>
      <c r="O137" s="20">
        <f>I137-J137-K137</f>
        <v>0</v>
      </c>
      <c r="P137" s="21" t="e">
        <f t="shared" si="62"/>
        <v>#DIV/0!</v>
      </c>
      <c r="Q137" s="321"/>
      <c r="R137" s="32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27.75" hidden="1" customHeight="1" x14ac:dyDescent="0.25">
      <c r="A138" s="99" t="s">
        <v>47</v>
      </c>
      <c r="B138" s="112" t="s">
        <v>9</v>
      </c>
      <c r="C138" s="112" t="s">
        <v>12</v>
      </c>
      <c r="D138" s="112" t="s">
        <v>14</v>
      </c>
      <c r="E138" s="105" t="s">
        <v>144</v>
      </c>
      <c r="F138" s="112" t="s">
        <v>63</v>
      </c>
      <c r="G138" s="112" t="s">
        <v>48</v>
      </c>
      <c r="H138" s="112"/>
      <c r="I138" s="123">
        <v>0</v>
      </c>
      <c r="J138" s="124">
        <v>0</v>
      </c>
      <c r="K138" s="118">
        <f t="shared" ref="K138" si="70">I138-J138</f>
        <v>0</v>
      </c>
      <c r="L138" s="114"/>
      <c r="M138" s="188"/>
      <c r="N138" s="189"/>
      <c r="O138" s="119">
        <f t="shared" ref="O138:O140" si="71">I138-J138-K138</f>
        <v>0</v>
      </c>
      <c r="P138" s="120" t="e">
        <f t="shared" si="62"/>
        <v>#DIV/0!</v>
      </c>
      <c r="Q138" s="323"/>
      <c r="R138" s="32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16.25" customHeight="1" x14ac:dyDescent="0.25">
      <c r="A139" s="190" t="s">
        <v>154</v>
      </c>
      <c r="B139" s="41" t="s">
        <v>9</v>
      </c>
      <c r="C139" s="41" t="s">
        <v>12</v>
      </c>
      <c r="D139" s="41" t="s">
        <v>14</v>
      </c>
      <c r="E139" s="41" t="s">
        <v>155</v>
      </c>
      <c r="F139" s="41"/>
      <c r="G139" s="41"/>
      <c r="H139" s="41"/>
      <c r="I139" s="56">
        <f>I140</f>
        <v>9742.86</v>
      </c>
      <c r="J139" s="55">
        <f>J140</f>
        <v>2675.58</v>
      </c>
      <c r="K139" s="55">
        <f>I139-J139</f>
        <v>7067.2800000000007</v>
      </c>
      <c r="L139" s="18" t="e">
        <f>L140</f>
        <v>#REF!</v>
      </c>
      <c r="M139" s="186"/>
      <c r="N139" s="187"/>
      <c r="O139" s="20">
        <f t="shared" si="71"/>
        <v>0</v>
      </c>
      <c r="P139" s="21">
        <f>J139/I139*100</f>
        <v>27.461956756024406</v>
      </c>
      <c r="Q139" s="331"/>
      <c r="R139" s="331"/>
      <c r="S139" s="15"/>
    </row>
    <row r="140" spans="1:50" ht="18.75" x14ac:dyDescent="0.25">
      <c r="A140" s="99" t="s">
        <v>113</v>
      </c>
      <c r="B140" s="22" t="s">
        <v>9</v>
      </c>
      <c r="C140" s="22" t="s">
        <v>12</v>
      </c>
      <c r="D140" s="22" t="s">
        <v>14</v>
      </c>
      <c r="E140" s="22" t="s">
        <v>155</v>
      </c>
      <c r="F140" s="22" t="s">
        <v>63</v>
      </c>
      <c r="G140" s="22" t="s">
        <v>114</v>
      </c>
      <c r="H140" s="22"/>
      <c r="I140" s="35">
        <v>9742.86</v>
      </c>
      <c r="J140" s="100">
        <v>2675.58</v>
      </c>
      <c r="K140" s="34">
        <f>I140-J140</f>
        <v>7067.2800000000007</v>
      </c>
      <c r="L140" s="24" t="e">
        <f>#REF!</f>
        <v>#REF!</v>
      </c>
      <c r="M140" s="184"/>
      <c r="N140" s="185"/>
      <c r="O140" s="25">
        <f t="shared" si="71"/>
        <v>0</v>
      </c>
      <c r="P140" s="26">
        <f>J140/I140*100</f>
        <v>27.461956756024406</v>
      </c>
      <c r="Q140" s="331"/>
      <c r="R140" s="331"/>
      <c r="Z140" s="15"/>
      <c r="AA140" s="15"/>
      <c r="AB140" s="15"/>
      <c r="AC140" s="15"/>
      <c r="AD140" s="15"/>
    </row>
    <row r="141" spans="1:50" s="2" customFormat="1" ht="60" customHeight="1" x14ac:dyDescent="0.25">
      <c r="A141" s="199" t="s">
        <v>145</v>
      </c>
      <c r="B141" s="104" t="s">
        <v>9</v>
      </c>
      <c r="C141" s="104" t="s">
        <v>12</v>
      </c>
      <c r="D141" s="104" t="s">
        <v>12</v>
      </c>
      <c r="E141" s="104" t="s">
        <v>126</v>
      </c>
      <c r="F141" s="104"/>
      <c r="G141" s="104"/>
      <c r="H141" s="104"/>
      <c r="I141" s="106">
        <f>I142+I143</f>
        <v>130000</v>
      </c>
      <c r="J141" s="106">
        <f>J143+J142</f>
        <v>0</v>
      </c>
      <c r="K141" s="106">
        <f>K143+K142</f>
        <v>130000</v>
      </c>
      <c r="L141" s="115"/>
      <c r="M141" s="195"/>
      <c r="N141" s="196"/>
      <c r="O141" s="20">
        <f>I141-J141-K141</f>
        <v>0</v>
      </c>
      <c r="P141" s="21">
        <f t="shared" si="62"/>
        <v>0</v>
      </c>
      <c r="Q141" s="321"/>
      <c r="R141" s="32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33" customHeight="1" x14ac:dyDescent="0.25">
      <c r="A142" s="194" t="s">
        <v>27</v>
      </c>
      <c r="B142" s="112" t="s">
        <v>9</v>
      </c>
      <c r="C142" s="112" t="s">
        <v>12</v>
      </c>
      <c r="D142" s="112" t="s">
        <v>12</v>
      </c>
      <c r="E142" s="112" t="s">
        <v>126</v>
      </c>
      <c r="F142" s="112" t="s">
        <v>63</v>
      </c>
      <c r="G142" s="112" t="s">
        <v>28</v>
      </c>
      <c r="H142" s="129"/>
      <c r="I142" s="116">
        <v>99846.39</v>
      </c>
      <c r="J142" s="117">
        <v>0</v>
      </c>
      <c r="K142" s="116">
        <f>I142-J142</f>
        <v>99846.39</v>
      </c>
      <c r="L142" s="131"/>
      <c r="M142" s="184"/>
      <c r="N142" s="185"/>
      <c r="O142" s="119">
        <f t="shared" ref="O142:O143" si="72">I142-J142-K142</f>
        <v>0</v>
      </c>
      <c r="P142" s="120">
        <f t="shared" si="62"/>
        <v>0</v>
      </c>
      <c r="Q142" s="325"/>
      <c r="R142" s="326"/>
    </row>
    <row r="143" spans="1:50" s="2" customFormat="1" ht="27.75" customHeight="1" x14ac:dyDescent="0.25">
      <c r="A143" s="175" t="s">
        <v>31</v>
      </c>
      <c r="B143" s="112" t="s">
        <v>9</v>
      </c>
      <c r="C143" s="112" t="s">
        <v>12</v>
      </c>
      <c r="D143" s="112" t="s">
        <v>12</v>
      </c>
      <c r="E143" s="112" t="s">
        <v>126</v>
      </c>
      <c r="F143" s="112" t="s">
        <v>63</v>
      </c>
      <c r="G143" s="112" t="s">
        <v>32</v>
      </c>
      <c r="H143" s="112"/>
      <c r="I143" s="116">
        <v>30153.61</v>
      </c>
      <c r="J143" s="117">
        <v>0</v>
      </c>
      <c r="K143" s="116">
        <f>I143-J143</f>
        <v>30153.61</v>
      </c>
      <c r="L143" s="131"/>
      <c r="M143" s="182"/>
      <c r="N143" s="183"/>
      <c r="O143" s="119">
        <f t="shared" si="72"/>
        <v>0</v>
      </c>
      <c r="P143" s="120">
        <f t="shared" si="62"/>
        <v>0</v>
      </c>
      <c r="Q143" s="323"/>
      <c r="R143" s="32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60" hidden="1" customHeight="1" x14ac:dyDescent="0.25">
      <c r="A144" s="199" t="s">
        <v>148</v>
      </c>
      <c r="B144" s="104" t="s">
        <v>9</v>
      </c>
      <c r="C144" s="104" t="s">
        <v>12</v>
      </c>
      <c r="D144" s="104" t="s">
        <v>85</v>
      </c>
      <c r="E144" s="104" t="s">
        <v>147</v>
      </c>
      <c r="F144" s="104"/>
      <c r="G144" s="104"/>
      <c r="H144" s="104"/>
      <c r="I144" s="106">
        <f>I145</f>
        <v>0</v>
      </c>
      <c r="J144" s="106">
        <f t="shared" ref="J144:K146" si="73">J145</f>
        <v>0</v>
      </c>
      <c r="K144" s="106">
        <f t="shared" si="73"/>
        <v>0</v>
      </c>
      <c r="L144" s="115"/>
      <c r="M144" s="195"/>
      <c r="N144" s="196"/>
      <c r="O144" s="20">
        <f>I144-J144-K144</f>
        <v>0</v>
      </c>
      <c r="P144" s="21" t="e">
        <f t="shared" si="62"/>
        <v>#DIV/0!</v>
      </c>
      <c r="Q144" s="321"/>
      <c r="R144" s="322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s="2" customFormat="1" ht="27.75" hidden="1" customHeight="1" x14ac:dyDescent="0.25">
      <c r="A145" s="99" t="s">
        <v>43</v>
      </c>
      <c r="B145" s="112" t="s">
        <v>9</v>
      </c>
      <c r="C145" s="112" t="s">
        <v>12</v>
      </c>
      <c r="D145" s="112" t="s">
        <v>85</v>
      </c>
      <c r="E145" s="105" t="s">
        <v>147</v>
      </c>
      <c r="F145" s="112" t="s">
        <v>63</v>
      </c>
      <c r="G145" s="112" t="s">
        <v>44</v>
      </c>
      <c r="H145" s="112"/>
      <c r="I145" s="118">
        <v>0</v>
      </c>
      <c r="J145" s="158">
        <v>0</v>
      </c>
      <c r="K145" s="118">
        <f t="shared" ref="K145" si="74">I145-J145</f>
        <v>0</v>
      </c>
      <c r="L145" s="114"/>
      <c r="M145" s="188"/>
      <c r="N145" s="189"/>
      <c r="O145" s="119">
        <f t="shared" ref="O145" si="75">I145-J145-K145</f>
        <v>0</v>
      </c>
      <c r="P145" s="120" t="e">
        <f t="shared" si="62"/>
        <v>#DIV/0!</v>
      </c>
      <c r="Q145" s="323"/>
      <c r="R145" s="3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" customFormat="1" ht="41.25" customHeight="1" x14ac:dyDescent="0.25">
      <c r="A146" s="199" t="s">
        <v>161</v>
      </c>
      <c r="B146" s="104" t="s">
        <v>9</v>
      </c>
      <c r="C146" s="104" t="s">
        <v>12</v>
      </c>
      <c r="D146" s="104" t="s">
        <v>85</v>
      </c>
      <c r="E146" s="104" t="s">
        <v>162</v>
      </c>
      <c r="F146" s="104" t="s">
        <v>63</v>
      </c>
      <c r="G146" s="104" t="s">
        <v>44</v>
      </c>
      <c r="H146" s="104"/>
      <c r="I146" s="106">
        <f>I147</f>
        <v>63000</v>
      </c>
      <c r="J146" s="106">
        <f t="shared" si="73"/>
        <v>63000</v>
      </c>
      <c r="K146" s="106">
        <f t="shared" si="73"/>
        <v>0</v>
      </c>
      <c r="L146" s="115"/>
      <c r="M146" s="195"/>
      <c r="N146" s="196"/>
      <c r="O146" s="20">
        <f>I146-J146-K146</f>
        <v>0</v>
      </c>
      <c r="P146" s="21">
        <f t="shared" si="62"/>
        <v>100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" customFormat="1" ht="27.75" customHeight="1" x14ac:dyDescent="0.25">
      <c r="A147" s="99" t="s">
        <v>43</v>
      </c>
      <c r="B147" s="112" t="s">
        <v>9</v>
      </c>
      <c r="C147" s="112" t="s">
        <v>12</v>
      </c>
      <c r="D147" s="112" t="s">
        <v>85</v>
      </c>
      <c r="E147" s="113" t="s">
        <v>162</v>
      </c>
      <c r="F147" s="112" t="s">
        <v>63</v>
      </c>
      <c r="G147" s="112" t="s">
        <v>42</v>
      </c>
      <c r="H147" s="112"/>
      <c r="I147" s="118">
        <v>63000</v>
      </c>
      <c r="J147" s="158">
        <v>63000</v>
      </c>
      <c r="K147" s="118">
        <f t="shared" ref="K147" si="76">I147-J147</f>
        <v>0</v>
      </c>
      <c r="L147" s="114"/>
      <c r="M147" s="188"/>
      <c r="N147" s="189"/>
      <c r="O147" s="119">
        <f>I147-J147-K147</f>
        <v>0</v>
      </c>
      <c r="P147" s="120">
        <f t="shared" si="62"/>
        <v>100</v>
      </c>
      <c r="Q147" s="323"/>
      <c r="R147" s="3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2" customFormat="1" ht="22.5" customHeight="1" x14ac:dyDescent="0.3">
      <c r="A148" s="333" t="s">
        <v>71</v>
      </c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5"/>
      <c r="Q148" s="336"/>
      <c r="R148" s="337"/>
    </row>
    <row r="149" spans="1:50" ht="78" x14ac:dyDescent="0.25">
      <c r="A149" s="51" t="s">
        <v>8</v>
      </c>
      <c r="B149" s="52" t="s">
        <v>9</v>
      </c>
      <c r="C149" s="52"/>
      <c r="D149" s="52"/>
      <c r="E149" s="52"/>
      <c r="F149" s="52"/>
      <c r="G149" s="52"/>
      <c r="H149" s="52"/>
      <c r="I149" s="53">
        <f>I150+I161+I157+I165+I167+I172+I175+I178+I153+I155</f>
        <v>17139524.57</v>
      </c>
      <c r="J149" s="53">
        <f>J150+J161+J157+J167+J172+J165+J175+J178+J153+J155</f>
        <v>4682385.5699999994</v>
      </c>
      <c r="K149" s="53">
        <f>K150+K161+K157+K165+K167+K172+K175+K178+K153+K155</f>
        <v>12457139</v>
      </c>
      <c r="L149" s="53" t="e">
        <f>L150+L161</f>
        <v>#REF!</v>
      </c>
      <c r="M149" s="53" t="e">
        <f>M150+M161</f>
        <v>#REF!</v>
      </c>
      <c r="N149" s="53" t="e">
        <f>N150+N161</f>
        <v>#REF!</v>
      </c>
      <c r="O149" s="53">
        <f>I149-J149-K149</f>
        <v>0</v>
      </c>
      <c r="P149" s="53">
        <f>P150+P161</f>
        <v>67.825962079064993</v>
      </c>
      <c r="Q149" s="331"/>
      <c r="R149" s="331"/>
    </row>
    <row r="150" spans="1:50" ht="24" customHeight="1" x14ac:dyDescent="0.25">
      <c r="A150" s="173" t="s">
        <v>11</v>
      </c>
      <c r="B150" s="8" t="s">
        <v>9</v>
      </c>
      <c r="C150" s="8" t="s">
        <v>12</v>
      </c>
      <c r="D150" s="8"/>
      <c r="E150" s="8"/>
      <c r="F150" s="8"/>
      <c r="G150" s="8"/>
      <c r="H150" s="8"/>
      <c r="I150" s="9">
        <f>I151</f>
        <v>248300</v>
      </c>
      <c r="J150" s="9">
        <f t="shared" ref="J150:N150" si="77">J151</f>
        <v>99963.76</v>
      </c>
      <c r="K150" s="9">
        <f t="shared" ref="K150:K156" si="78">I150-J150</f>
        <v>148336.24</v>
      </c>
      <c r="L150" s="9" t="e">
        <f t="shared" si="77"/>
        <v>#REF!</v>
      </c>
      <c r="M150" s="9">
        <f t="shared" si="77"/>
        <v>0</v>
      </c>
      <c r="N150" s="9">
        <f t="shared" si="77"/>
        <v>0</v>
      </c>
      <c r="O150" s="9">
        <f t="shared" ref="O150:O170" si="79">I150-J150-K150</f>
        <v>0</v>
      </c>
      <c r="P150" s="12">
        <f t="shared" ref="P150:P159" si="80">J150/I150*100</f>
        <v>40.259267015706804</v>
      </c>
      <c r="Q150" s="331"/>
      <c r="R150" s="331"/>
    </row>
    <row r="151" spans="1:50" ht="102.75" customHeight="1" x14ac:dyDescent="0.25">
      <c r="A151" s="190" t="s">
        <v>153</v>
      </c>
      <c r="B151" s="41" t="s">
        <v>9</v>
      </c>
      <c r="C151" s="41" t="s">
        <v>12</v>
      </c>
      <c r="D151" s="41" t="s">
        <v>14</v>
      </c>
      <c r="E151" s="41" t="s">
        <v>72</v>
      </c>
      <c r="F151" s="41"/>
      <c r="G151" s="41"/>
      <c r="H151" s="41"/>
      <c r="I151" s="56">
        <f>I152</f>
        <v>248300</v>
      </c>
      <c r="J151" s="55">
        <f>J152</f>
        <v>99963.76</v>
      </c>
      <c r="K151" s="55">
        <f t="shared" si="78"/>
        <v>148336.24</v>
      </c>
      <c r="L151" s="18" t="e">
        <f>L152</f>
        <v>#REF!</v>
      </c>
      <c r="M151" s="186"/>
      <c r="N151" s="187"/>
      <c r="O151" s="20">
        <f t="shared" si="79"/>
        <v>0</v>
      </c>
      <c r="P151" s="21">
        <f t="shared" si="80"/>
        <v>40.259267015706804</v>
      </c>
      <c r="Q151" s="331"/>
      <c r="R151" s="331"/>
      <c r="S151" s="15"/>
    </row>
    <row r="152" spans="1:50" ht="18.75" x14ac:dyDescent="0.25">
      <c r="A152" s="99" t="s">
        <v>113</v>
      </c>
      <c r="B152" s="22" t="s">
        <v>9</v>
      </c>
      <c r="C152" s="22" t="s">
        <v>12</v>
      </c>
      <c r="D152" s="22" t="s">
        <v>14</v>
      </c>
      <c r="E152" s="43" t="s">
        <v>72</v>
      </c>
      <c r="F152" s="22" t="s">
        <v>63</v>
      </c>
      <c r="G152" s="22" t="s">
        <v>114</v>
      </c>
      <c r="H152" s="22"/>
      <c r="I152" s="35">
        <v>248300</v>
      </c>
      <c r="J152" s="100">
        <v>99963.76</v>
      </c>
      <c r="K152" s="34">
        <f t="shared" si="78"/>
        <v>148336.24</v>
      </c>
      <c r="L152" s="24" t="e">
        <f>#REF!</f>
        <v>#REF!</v>
      </c>
      <c r="M152" s="184"/>
      <c r="N152" s="185"/>
      <c r="O152" s="25">
        <f t="shared" si="79"/>
        <v>0</v>
      </c>
      <c r="P152" s="26">
        <f t="shared" si="80"/>
        <v>40.259267015706804</v>
      </c>
      <c r="Q152" s="331"/>
      <c r="R152" s="331"/>
      <c r="Z152" s="15"/>
      <c r="AA152" s="15"/>
      <c r="AB152" s="15"/>
      <c r="AC152" s="15"/>
      <c r="AD152" s="15"/>
    </row>
    <row r="153" spans="1:50" ht="131.25" customHeight="1" x14ac:dyDescent="0.25">
      <c r="A153" s="190" t="s">
        <v>154</v>
      </c>
      <c r="B153" s="41" t="s">
        <v>9</v>
      </c>
      <c r="C153" s="41" t="s">
        <v>12</v>
      </c>
      <c r="D153" s="41" t="s">
        <v>14</v>
      </c>
      <c r="E153" s="41" t="s">
        <v>159</v>
      </c>
      <c r="F153" s="41"/>
      <c r="G153" s="41"/>
      <c r="H153" s="41"/>
      <c r="I153" s="56">
        <f>I154</f>
        <v>477400</v>
      </c>
      <c r="J153" s="55">
        <f>J154</f>
        <v>102516.67</v>
      </c>
      <c r="K153" s="55">
        <f t="shared" si="78"/>
        <v>374883.33</v>
      </c>
      <c r="L153" s="18" t="e">
        <f>L154</f>
        <v>#REF!</v>
      </c>
      <c r="M153" s="186"/>
      <c r="N153" s="187"/>
      <c r="O153" s="20">
        <f t="shared" si="79"/>
        <v>0</v>
      </c>
      <c r="P153" s="21">
        <f t="shared" si="80"/>
        <v>21.473956849602011</v>
      </c>
      <c r="Q153" s="331"/>
      <c r="R153" s="331"/>
      <c r="S153" s="15"/>
    </row>
    <row r="154" spans="1:50" ht="18.75" x14ac:dyDescent="0.25">
      <c r="A154" s="99" t="s">
        <v>113</v>
      </c>
      <c r="B154" s="22" t="s">
        <v>9</v>
      </c>
      <c r="C154" s="22" t="s">
        <v>12</v>
      </c>
      <c r="D154" s="22" t="s">
        <v>14</v>
      </c>
      <c r="E154" s="43" t="s">
        <v>159</v>
      </c>
      <c r="F154" s="22" t="s">
        <v>63</v>
      </c>
      <c r="G154" s="22" t="s">
        <v>114</v>
      </c>
      <c r="H154" s="22"/>
      <c r="I154" s="35">
        <v>477400</v>
      </c>
      <c r="J154" s="100">
        <v>102516.67</v>
      </c>
      <c r="K154" s="34">
        <f t="shared" si="78"/>
        <v>374883.33</v>
      </c>
      <c r="L154" s="24" t="e">
        <f>#REF!</f>
        <v>#REF!</v>
      </c>
      <c r="M154" s="184"/>
      <c r="N154" s="185"/>
      <c r="O154" s="25">
        <f t="shared" si="79"/>
        <v>0</v>
      </c>
      <c r="P154" s="26">
        <f t="shared" si="80"/>
        <v>21.473956849602011</v>
      </c>
      <c r="Q154" s="331"/>
      <c r="R154" s="331"/>
      <c r="Z154" s="15"/>
      <c r="AA154" s="15"/>
      <c r="AB154" s="15"/>
      <c r="AC154" s="15"/>
      <c r="AD154" s="15"/>
    </row>
    <row r="155" spans="1:50" ht="117.75" customHeight="1" x14ac:dyDescent="0.25">
      <c r="A155" s="190" t="s">
        <v>154</v>
      </c>
      <c r="B155" s="41" t="s">
        <v>9</v>
      </c>
      <c r="C155" s="41" t="s">
        <v>12</v>
      </c>
      <c r="D155" s="41" t="s">
        <v>14</v>
      </c>
      <c r="E155" s="41" t="s">
        <v>160</v>
      </c>
      <c r="F155" s="41"/>
      <c r="G155" s="41"/>
      <c r="H155" s="41"/>
      <c r="I155" s="56">
        <f>I156</f>
        <v>4563328.57</v>
      </c>
      <c r="J155" s="55">
        <f>J156</f>
        <v>914754.71</v>
      </c>
      <c r="K155" s="55">
        <f t="shared" si="78"/>
        <v>3648573.8600000003</v>
      </c>
      <c r="L155" s="18" t="e">
        <f>L156</f>
        <v>#REF!</v>
      </c>
      <c r="M155" s="186"/>
      <c r="N155" s="187"/>
      <c r="O155" s="20">
        <f t="shared" si="79"/>
        <v>0</v>
      </c>
      <c r="P155" s="21">
        <f t="shared" si="80"/>
        <v>20.045777900231275</v>
      </c>
      <c r="Q155" s="331"/>
      <c r="R155" s="331"/>
      <c r="S155" s="15"/>
    </row>
    <row r="156" spans="1:50" ht="18.75" x14ac:dyDescent="0.25">
      <c r="A156" s="99" t="s">
        <v>113</v>
      </c>
      <c r="B156" s="22" t="s">
        <v>9</v>
      </c>
      <c r="C156" s="22" t="s">
        <v>12</v>
      </c>
      <c r="D156" s="22" t="s">
        <v>14</v>
      </c>
      <c r="E156" s="43" t="s">
        <v>160</v>
      </c>
      <c r="F156" s="22" t="s">
        <v>22</v>
      </c>
      <c r="G156" s="22" t="s">
        <v>114</v>
      </c>
      <c r="H156" s="22"/>
      <c r="I156" s="35">
        <v>4563328.57</v>
      </c>
      <c r="J156" s="100">
        <v>914754.71</v>
      </c>
      <c r="K156" s="34">
        <f t="shared" si="78"/>
        <v>3648573.8600000003</v>
      </c>
      <c r="L156" s="24" t="e">
        <f>#REF!</f>
        <v>#REF!</v>
      </c>
      <c r="M156" s="184"/>
      <c r="N156" s="185"/>
      <c r="O156" s="25">
        <f t="shared" si="79"/>
        <v>0</v>
      </c>
      <c r="P156" s="26">
        <f t="shared" si="80"/>
        <v>20.045777900231275</v>
      </c>
      <c r="Q156" s="331"/>
      <c r="R156" s="331"/>
      <c r="Z156" s="15"/>
      <c r="AA156" s="15"/>
      <c r="AB156" s="15"/>
      <c r="AC156" s="15"/>
      <c r="AD156" s="15"/>
    </row>
    <row r="157" spans="1:50" ht="56.25" hidden="1" x14ac:dyDescent="0.25">
      <c r="A157" s="199" t="s">
        <v>143</v>
      </c>
      <c r="B157" s="104" t="s">
        <v>9</v>
      </c>
      <c r="C157" s="104" t="s">
        <v>12</v>
      </c>
      <c r="D157" s="104" t="s">
        <v>14</v>
      </c>
      <c r="E157" s="104" t="s">
        <v>138</v>
      </c>
      <c r="F157" s="104"/>
      <c r="G157" s="104"/>
      <c r="H157" s="104"/>
      <c r="I157" s="106">
        <f>I159+I158+I160</f>
        <v>0</v>
      </c>
      <c r="J157" s="106">
        <f>J159+J158+J160</f>
        <v>0</v>
      </c>
      <c r="K157" s="106">
        <f t="shared" ref="K157" si="81">K159</f>
        <v>0</v>
      </c>
      <c r="L157" s="115"/>
      <c r="M157" s="195"/>
      <c r="N157" s="196"/>
      <c r="O157" s="20">
        <f>I157-J157-K157</f>
        <v>0</v>
      </c>
      <c r="P157" s="21" t="e">
        <f t="shared" si="80"/>
        <v>#DIV/0!</v>
      </c>
      <c r="Q157" s="331"/>
      <c r="R157" s="331"/>
      <c r="Z157" s="15"/>
      <c r="AA157" s="15"/>
      <c r="AB157" s="15"/>
      <c r="AC157" s="15"/>
      <c r="AD157" s="15"/>
    </row>
    <row r="158" spans="1:50" ht="18.75" hidden="1" x14ac:dyDescent="0.25">
      <c r="A158" s="200" t="s">
        <v>43</v>
      </c>
      <c r="B158" s="112" t="s">
        <v>9</v>
      </c>
      <c r="C158" s="112" t="s">
        <v>12</v>
      </c>
      <c r="D158" s="112" t="s">
        <v>14</v>
      </c>
      <c r="E158" s="113" t="s">
        <v>138</v>
      </c>
      <c r="F158" s="112" t="s">
        <v>63</v>
      </c>
      <c r="G158" s="112" t="s">
        <v>44</v>
      </c>
      <c r="H158" s="129"/>
      <c r="I158" s="118">
        <v>0</v>
      </c>
      <c r="J158" s="158">
        <v>0</v>
      </c>
      <c r="K158" s="116"/>
      <c r="L158" s="135"/>
      <c r="M158" s="182"/>
      <c r="N158" s="183"/>
      <c r="O158" s="119"/>
      <c r="P158" s="120"/>
      <c r="Q158" s="331"/>
      <c r="R158" s="331"/>
      <c r="Z158" s="15"/>
      <c r="AA158" s="15"/>
      <c r="AB158" s="15"/>
      <c r="AC158" s="15"/>
      <c r="AD158" s="15"/>
    </row>
    <row r="159" spans="1:50" ht="25.5" hidden="1" customHeight="1" x14ac:dyDescent="0.25">
      <c r="A159" s="99" t="s">
        <v>47</v>
      </c>
      <c r="B159" s="112" t="s">
        <v>9</v>
      </c>
      <c r="C159" s="112" t="s">
        <v>12</v>
      </c>
      <c r="D159" s="112" t="s">
        <v>14</v>
      </c>
      <c r="E159" s="113" t="s">
        <v>138</v>
      </c>
      <c r="F159" s="112" t="s">
        <v>63</v>
      </c>
      <c r="G159" s="112" t="s">
        <v>48</v>
      </c>
      <c r="H159" s="112"/>
      <c r="I159" s="118">
        <v>0</v>
      </c>
      <c r="J159" s="158">
        <v>0</v>
      </c>
      <c r="K159" s="118">
        <f t="shared" ref="K159:K171" si="82">I159-J159</f>
        <v>0</v>
      </c>
      <c r="L159" s="114"/>
      <c r="M159" s="188"/>
      <c r="N159" s="189"/>
      <c r="O159" s="119">
        <f t="shared" ref="O159" si="83">I159-J159-K159</f>
        <v>0</v>
      </c>
      <c r="P159" s="120" t="e">
        <f t="shared" si="80"/>
        <v>#DIV/0!</v>
      </c>
      <c r="Q159" s="331"/>
      <c r="R159" s="331"/>
      <c r="Z159" s="15"/>
      <c r="AA159" s="15"/>
      <c r="AB159" s="15"/>
      <c r="AC159" s="15"/>
      <c r="AD159" s="15"/>
    </row>
    <row r="160" spans="1:50" ht="25.5" hidden="1" customHeight="1" x14ac:dyDescent="0.25">
      <c r="A160" s="175" t="s">
        <v>109</v>
      </c>
      <c r="B160" s="112" t="s">
        <v>9</v>
      </c>
      <c r="C160" s="112" t="s">
        <v>12</v>
      </c>
      <c r="D160" s="112" t="s">
        <v>14</v>
      </c>
      <c r="E160" s="113" t="s">
        <v>138</v>
      </c>
      <c r="F160" s="112" t="s">
        <v>63</v>
      </c>
      <c r="G160" s="112" t="s">
        <v>104</v>
      </c>
      <c r="H160" s="112"/>
      <c r="I160" s="118">
        <v>0</v>
      </c>
      <c r="J160" s="158">
        <v>0</v>
      </c>
      <c r="K160" s="118"/>
      <c r="L160" s="114"/>
      <c r="M160" s="188"/>
      <c r="N160" s="189"/>
      <c r="O160" s="119"/>
      <c r="P160" s="120"/>
      <c r="Q160" s="331"/>
      <c r="R160" s="331"/>
      <c r="Z160" s="15"/>
      <c r="AA160" s="15"/>
      <c r="AB160" s="15"/>
      <c r="AC160" s="15"/>
      <c r="AD160" s="15"/>
    </row>
    <row r="161" spans="1:50" s="47" customFormat="1" ht="19.5" x14ac:dyDescent="0.35">
      <c r="A161" s="58" t="s">
        <v>75</v>
      </c>
      <c r="B161" s="59" t="s">
        <v>9</v>
      </c>
      <c r="C161" s="59" t="s">
        <v>76</v>
      </c>
      <c r="D161" s="59"/>
      <c r="E161" s="59"/>
      <c r="F161" s="59"/>
      <c r="G161" s="59"/>
      <c r="H161" s="59"/>
      <c r="I161" s="60">
        <f t="shared" ref="I161:J165" si="84">I162</f>
        <v>5202484</v>
      </c>
      <c r="J161" s="60">
        <f t="shared" si="84"/>
        <v>1434152.9</v>
      </c>
      <c r="K161" s="60">
        <f t="shared" si="82"/>
        <v>3768331.1</v>
      </c>
      <c r="L161" s="60" t="e">
        <f>L162+#REF!</f>
        <v>#REF!</v>
      </c>
      <c r="M161" s="60" t="e">
        <f>M162+#REF!</f>
        <v>#REF!</v>
      </c>
      <c r="N161" s="60" t="e">
        <f>N162+#REF!</f>
        <v>#REF!</v>
      </c>
      <c r="O161" s="60">
        <f t="shared" si="79"/>
        <v>0</v>
      </c>
      <c r="P161" s="61">
        <f t="shared" ref="P161:P162" si="85">J161*100/I161</f>
        <v>27.566695063358196</v>
      </c>
      <c r="Q161" s="331"/>
      <c r="R161" s="331"/>
    </row>
    <row r="162" spans="1:50" ht="19.5" x14ac:dyDescent="0.35">
      <c r="A162" s="62" t="s">
        <v>77</v>
      </c>
      <c r="B162" s="63" t="s">
        <v>9</v>
      </c>
      <c r="C162" s="63" t="s">
        <v>76</v>
      </c>
      <c r="D162" s="63" t="s">
        <v>78</v>
      </c>
      <c r="E162" s="63"/>
      <c r="F162" s="63"/>
      <c r="G162" s="63"/>
      <c r="H162" s="63"/>
      <c r="I162" s="125">
        <f t="shared" si="84"/>
        <v>5202484</v>
      </c>
      <c r="J162" s="125">
        <f t="shared" si="84"/>
        <v>1434152.9</v>
      </c>
      <c r="K162" s="64">
        <f t="shared" si="82"/>
        <v>3768331.1</v>
      </c>
      <c r="L162" s="64" t="e">
        <f t="shared" ref="L162:N162" si="86">L163</f>
        <v>#REF!</v>
      </c>
      <c r="M162" s="64">
        <f t="shared" si="86"/>
        <v>0</v>
      </c>
      <c r="N162" s="64">
        <f t="shared" si="86"/>
        <v>0</v>
      </c>
      <c r="O162" s="64">
        <f t="shared" si="79"/>
        <v>0</v>
      </c>
      <c r="P162" s="65">
        <f t="shared" si="85"/>
        <v>27.566695063358196</v>
      </c>
      <c r="Q162" s="331"/>
      <c r="R162" s="331"/>
    </row>
    <row r="163" spans="1:50" ht="135.75" customHeight="1" x14ac:dyDescent="0.25">
      <c r="A163" s="86" t="s">
        <v>79</v>
      </c>
      <c r="B163" s="41" t="s">
        <v>9</v>
      </c>
      <c r="C163" s="41" t="s">
        <v>76</v>
      </c>
      <c r="D163" s="41" t="s">
        <v>78</v>
      </c>
      <c r="E163" s="66">
        <v>7110175110</v>
      </c>
      <c r="F163" s="41"/>
      <c r="G163" s="41"/>
      <c r="H163" s="41"/>
      <c r="I163" s="17">
        <f t="shared" si="84"/>
        <v>5202484</v>
      </c>
      <c r="J163" s="17">
        <f t="shared" si="84"/>
        <v>1434152.9</v>
      </c>
      <c r="K163" s="17">
        <f t="shared" si="82"/>
        <v>3768331.1</v>
      </c>
      <c r="L163" s="18" t="e">
        <f>L164</f>
        <v>#REF!</v>
      </c>
      <c r="M163" s="186"/>
      <c r="N163" s="187"/>
      <c r="O163" s="20">
        <f t="shared" si="79"/>
        <v>0</v>
      </c>
      <c r="P163" s="21">
        <f>J163/I163*100</f>
        <v>27.566695063358193</v>
      </c>
      <c r="Q163" s="331"/>
      <c r="R163" s="331"/>
    </row>
    <row r="164" spans="1:50" s="46" customFormat="1" ht="37.5" x14ac:dyDescent="0.25">
      <c r="A164" s="175" t="s">
        <v>93</v>
      </c>
      <c r="B164" s="22" t="s">
        <v>9</v>
      </c>
      <c r="C164" s="22" t="s">
        <v>76</v>
      </c>
      <c r="D164" s="22" t="s">
        <v>78</v>
      </c>
      <c r="E164" s="67">
        <v>7110175100</v>
      </c>
      <c r="F164" s="22" t="s">
        <v>63</v>
      </c>
      <c r="G164" s="22" t="s">
        <v>94</v>
      </c>
      <c r="H164" s="22"/>
      <c r="I164" s="35">
        <v>5202484</v>
      </c>
      <c r="J164" s="35">
        <v>1434152.9</v>
      </c>
      <c r="K164" s="23">
        <f t="shared" si="82"/>
        <v>3768331.1</v>
      </c>
      <c r="L164" s="24" t="e">
        <f>#REF!</f>
        <v>#REF!</v>
      </c>
      <c r="M164" s="182"/>
      <c r="N164" s="183"/>
      <c r="O164" s="25">
        <f t="shared" si="79"/>
        <v>0</v>
      </c>
      <c r="P164" s="26">
        <f t="shared" ref="P164" si="87">J164/I164*100</f>
        <v>27.566695063358193</v>
      </c>
      <c r="Q164" s="331"/>
      <c r="R164" s="331"/>
      <c r="S164" s="1"/>
      <c r="T164" s="1"/>
      <c r="U164" s="1"/>
      <c r="V164" s="1"/>
      <c r="W164" s="1"/>
      <c r="X164" s="1"/>
      <c r="Y164" s="1"/>
      <c r="Z164" s="68"/>
      <c r="AA164" s="68"/>
      <c r="AB164" s="68"/>
      <c r="AC164" s="68"/>
      <c r="AD164" s="68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62.25" hidden="1" customHeight="1" x14ac:dyDescent="0.25">
      <c r="A165" s="40" t="s">
        <v>139</v>
      </c>
      <c r="B165" s="41" t="s">
        <v>9</v>
      </c>
      <c r="C165" s="41" t="s">
        <v>12</v>
      </c>
      <c r="D165" s="41" t="s">
        <v>14</v>
      </c>
      <c r="E165" s="66" t="s">
        <v>135</v>
      </c>
      <c r="F165" s="41"/>
      <c r="G165" s="41"/>
      <c r="H165" s="41"/>
      <c r="I165" s="17">
        <f t="shared" si="84"/>
        <v>0</v>
      </c>
      <c r="J165" s="17">
        <f t="shared" si="84"/>
        <v>0</v>
      </c>
      <c r="K165" s="17">
        <f t="shared" si="82"/>
        <v>0</v>
      </c>
      <c r="L165" s="18" t="e">
        <f>L166</f>
        <v>#REF!</v>
      </c>
      <c r="M165" s="186"/>
      <c r="N165" s="187"/>
      <c r="O165" s="20">
        <f t="shared" si="79"/>
        <v>0</v>
      </c>
      <c r="P165" s="21" t="e">
        <f>J165/I165*100</f>
        <v>#DIV/0!</v>
      </c>
      <c r="Q165" s="331"/>
      <c r="R165" s="331"/>
    </row>
    <row r="166" spans="1:50" s="46" customFormat="1" ht="18.75" hidden="1" x14ac:dyDescent="0.25">
      <c r="A166" s="99" t="s">
        <v>47</v>
      </c>
      <c r="B166" s="22" t="s">
        <v>9</v>
      </c>
      <c r="C166" s="16" t="s">
        <v>12</v>
      </c>
      <c r="D166" s="16" t="s">
        <v>14</v>
      </c>
      <c r="E166" s="134" t="s">
        <v>135</v>
      </c>
      <c r="F166" s="22" t="s">
        <v>63</v>
      </c>
      <c r="G166" s="22" t="s">
        <v>48</v>
      </c>
      <c r="H166" s="22"/>
      <c r="I166" s="35">
        <v>0</v>
      </c>
      <c r="J166" s="35">
        <v>0</v>
      </c>
      <c r="K166" s="23">
        <f t="shared" si="82"/>
        <v>0</v>
      </c>
      <c r="L166" s="24" t="e">
        <f>#REF!</f>
        <v>#REF!</v>
      </c>
      <c r="M166" s="182"/>
      <c r="N166" s="183"/>
      <c r="O166" s="25">
        <f t="shared" si="79"/>
        <v>0</v>
      </c>
      <c r="P166" s="26" t="e">
        <f t="shared" ref="P166" si="88">J166/I166*100</f>
        <v>#DIV/0!</v>
      </c>
      <c r="Q166" s="331"/>
      <c r="R166" s="331"/>
      <c r="S166" s="1"/>
      <c r="T166" s="1"/>
      <c r="U166" s="1"/>
      <c r="V166" s="1"/>
      <c r="W166" s="1"/>
      <c r="X166" s="1"/>
      <c r="Y166" s="1"/>
      <c r="Z166" s="68"/>
      <c r="AA166" s="68"/>
      <c r="AB166" s="68"/>
      <c r="AC166" s="68"/>
      <c r="AD166" s="68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62.25" hidden="1" customHeight="1" x14ac:dyDescent="0.25">
      <c r="A167" s="199" t="s">
        <v>148</v>
      </c>
      <c r="B167" s="41" t="s">
        <v>9</v>
      </c>
      <c r="C167" s="41" t="s">
        <v>12</v>
      </c>
      <c r="D167" s="41" t="s">
        <v>85</v>
      </c>
      <c r="E167" s="66">
        <v>7010470790</v>
      </c>
      <c r="F167" s="41"/>
      <c r="G167" s="41"/>
      <c r="H167" s="41"/>
      <c r="I167" s="17">
        <f>I170+I168+I169+I171</f>
        <v>0</v>
      </c>
      <c r="J167" s="17">
        <f>J170+J168+J169+J171</f>
        <v>0</v>
      </c>
      <c r="K167" s="17">
        <f t="shared" si="82"/>
        <v>0</v>
      </c>
      <c r="L167" s="18" t="e">
        <f>L170</f>
        <v>#REF!</v>
      </c>
      <c r="M167" s="186"/>
      <c r="N167" s="187"/>
      <c r="O167" s="20">
        <f t="shared" si="79"/>
        <v>0</v>
      </c>
      <c r="P167" s="21" t="e">
        <f>J167/I167*100</f>
        <v>#DIV/0!</v>
      </c>
      <c r="Q167" s="331"/>
      <c r="R167" s="331"/>
    </row>
    <row r="168" spans="1:50" ht="27" hidden="1" customHeight="1" x14ac:dyDescent="0.25">
      <c r="A168" s="200" t="s">
        <v>56</v>
      </c>
      <c r="B168" s="22" t="s">
        <v>9</v>
      </c>
      <c r="C168" s="22" t="s">
        <v>12</v>
      </c>
      <c r="D168" s="22" t="s">
        <v>85</v>
      </c>
      <c r="E168" s="67">
        <v>7010470790</v>
      </c>
      <c r="F168" s="22" t="s">
        <v>63</v>
      </c>
      <c r="G168" s="22" t="s">
        <v>38</v>
      </c>
      <c r="H168" s="22"/>
      <c r="I168" s="23"/>
      <c r="J168" s="23"/>
      <c r="K168" s="23">
        <f>I168-J168</f>
        <v>0</v>
      </c>
      <c r="L168" s="24"/>
      <c r="M168" s="182"/>
      <c r="N168" s="183"/>
      <c r="O168" s="25"/>
      <c r="P168" s="26"/>
      <c r="Q168" s="331"/>
      <c r="R168" s="331"/>
    </row>
    <row r="169" spans="1:50" ht="20.25" hidden="1" customHeight="1" x14ac:dyDescent="0.25">
      <c r="A169" s="200" t="s">
        <v>43</v>
      </c>
      <c r="B169" s="22" t="s">
        <v>9</v>
      </c>
      <c r="C169" s="22" t="s">
        <v>12</v>
      </c>
      <c r="D169" s="22" t="s">
        <v>85</v>
      </c>
      <c r="E169" s="67">
        <v>7010470790</v>
      </c>
      <c r="F169" s="22" t="s">
        <v>63</v>
      </c>
      <c r="G169" s="22" t="s">
        <v>44</v>
      </c>
      <c r="H169" s="22"/>
      <c r="I169" s="23"/>
      <c r="J169" s="23"/>
      <c r="K169" s="23">
        <f>I169-J169</f>
        <v>0</v>
      </c>
      <c r="L169" s="24"/>
      <c r="M169" s="182"/>
      <c r="N169" s="183"/>
      <c r="O169" s="25"/>
      <c r="P169" s="26"/>
      <c r="Q169" s="331"/>
      <c r="R169" s="331"/>
    </row>
    <row r="170" spans="1:50" s="2" customFormat="1" ht="24" hidden="1" customHeight="1" x14ac:dyDescent="0.25">
      <c r="A170" s="201" t="s">
        <v>47</v>
      </c>
      <c r="B170" s="112" t="s">
        <v>9</v>
      </c>
      <c r="C170" s="112" t="s">
        <v>12</v>
      </c>
      <c r="D170" s="112" t="s">
        <v>85</v>
      </c>
      <c r="E170" s="138">
        <v>7010470790</v>
      </c>
      <c r="F170" s="112" t="s">
        <v>63</v>
      </c>
      <c r="G170" s="112" t="s">
        <v>48</v>
      </c>
      <c r="H170" s="112"/>
      <c r="I170" s="116"/>
      <c r="J170" s="116"/>
      <c r="K170" s="116">
        <f t="shared" si="82"/>
        <v>0</v>
      </c>
      <c r="L170" s="136" t="e">
        <f>#REF!</f>
        <v>#REF!</v>
      </c>
      <c r="M170" s="182"/>
      <c r="N170" s="183"/>
      <c r="O170" s="119">
        <f t="shared" si="79"/>
        <v>0</v>
      </c>
      <c r="P170" s="120" t="e">
        <f t="shared" ref="P170:P172" si="89">J170/I170*100</f>
        <v>#DIV/0!</v>
      </c>
      <c r="Q170" s="332"/>
      <c r="R170" s="332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2" customFormat="1" ht="24" hidden="1" customHeight="1" x14ac:dyDescent="0.25">
      <c r="A171" s="175" t="s">
        <v>109</v>
      </c>
      <c r="B171" s="112" t="s">
        <v>9</v>
      </c>
      <c r="C171" s="112" t="s">
        <v>12</v>
      </c>
      <c r="D171" s="112" t="s">
        <v>85</v>
      </c>
      <c r="E171" s="138">
        <v>7010470790</v>
      </c>
      <c r="F171" s="112" t="s">
        <v>63</v>
      </c>
      <c r="G171" s="112" t="s">
        <v>104</v>
      </c>
      <c r="H171" s="22"/>
      <c r="I171" s="23"/>
      <c r="J171" s="23"/>
      <c r="K171" s="116">
        <f t="shared" si="82"/>
        <v>0</v>
      </c>
      <c r="L171" s="137"/>
      <c r="M171" s="216"/>
      <c r="N171" s="215"/>
      <c r="O171" s="119">
        <f>I171-J171-K171</f>
        <v>0</v>
      </c>
      <c r="P171" s="120" t="e">
        <f t="shared" si="89"/>
        <v>#DIV/0!</v>
      </c>
      <c r="Q171" s="332"/>
      <c r="R171" s="332"/>
      <c r="S171" s="1"/>
      <c r="T171" s="1"/>
      <c r="U171" s="1"/>
      <c r="V171" s="1"/>
      <c r="W171" s="1"/>
      <c r="X171" s="1"/>
      <c r="Y171" s="1"/>
      <c r="Z171" s="68"/>
      <c r="AA171" s="68"/>
      <c r="AB171" s="68"/>
      <c r="AC171" s="68"/>
      <c r="AD171" s="6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2" customFormat="1" ht="60" hidden="1" customHeight="1" x14ac:dyDescent="0.25">
      <c r="A172" s="199" t="s">
        <v>145</v>
      </c>
      <c r="B172" s="104" t="s">
        <v>9</v>
      </c>
      <c r="C172" s="104" t="s">
        <v>12</v>
      </c>
      <c r="D172" s="104" t="s">
        <v>12</v>
      </c>
      <c r="E172" s="104" t="s">
        <v>149</v>
      </c>
      <c r="F172" s="104"/>
      <c r="G172" s="104"/>
      <c r="H172" s="104"/>
      <c r="I172" s="106">
        <f>I173+I174</f>
        <v>0</v>
      </c>
      <c r="J172" s="106">
        <f>J174+J173</f>
        <v>0</v>
      </c>
      <c r="K172" s="106">
        <f>K174+K173</f>
        <v>0</v>
      </c>
      <c r="L172" s="115"/>
      <c r="M172" s="195"/>
      <c r="N172" s="196"/>
      <c r="O172" s="20">
        <f>I172-J172-K172</f>
        <v>0</v>
      </c>
      <c r="P172" s="21" t="e">
        <f t="shared" si="89"/>
        <v>#DIV/0!</v>
      </c>
      <c r="Q172" s="321"/>
      <c r="R172" s="32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33" hidden="1" customHeight="1" x14ac:dyDescent="0.25">
      <c r="A173" s="194" t="s">
        <v>27</v>
      </c>
      <c r="B173" s="112" t="s">
        <v>9</v>
      </c>
      <c r="C173" s="112" t="s">
        <v>12</v>
      </c>
      <c r="D173" s="112" t="s">
        <v>12</v>
      </c>
      <c r="E173" s="112" t="s">
        <v>149</v>
      </c>
      <c r="F173" s="112" t="s">
        <v>63</v>
      </c>
      <c r="G173" s="112" t="s">
        <v>28</v>
      </c>
      <c r="H173" s="129"/>
      <c r="I173" s="116"/>
      <c r="J173" s="117"/>
      <c r="K173" s="130">
        <f>I173-J173</f>
        <v>0</v>
      </c>
      <c r="L173" s="131"/>
      <c r="M173" s="184"/>
      <c r="N173" s="185"/>
      <c r="O173" s="132"/>
      <c r="P173" s="133"/>
      <c r="Q173" s="325"/>
      <c r="R173" s="326"/>
    </row>
    <row r="174" spans="1:50" s="2" customFormat="1" ht="27.75" hidden="1" customHeight="1" x14ac:dyDescent="0.25">
      <c r="A174" s="175" t="s">
        <v>31</v>
      </c>
      <c r="B174" s="112" t="s">
        <v>9</v>
      </c>
      <c r="C174" s="112" t="s">
        <v>12</v>
      </c>
      <c r="D174" s="112" t="s">
        <v>12</v>
      </c>
      <c r="E174" s="112" t="s">
        <v>149</v>
      </c>
      <c r="F174" s="112" t="s">
        <v>63</v>
      </c>
      <c r="G174" s="112" t="s">
        <v>32</v>
      </c>
      <c r="H174" s="112"/>
      <c r="I174" s="116"/>
      <c r="J174" s="117"/>
      <c r="K174" s="116">
        <f>I174-J174</f>
        <v>0</v>
      </c>
      <c r="L174" s="131"/>
      <c r="M174" s="182"/>
      <c r="N174" s="183"/>
      <c r="O174" s="119">
        <f t="shared" ref="O174" si="90">I174-J174-K174</f>
        <v>0</v>
      </c>
      <c r="P174" s="120" t="e">
        <f t="shared" ref="P174:P180" si="91">J174/I174*100</f>
        <v>#DIV/0!</v>
      </c>
      <c r="Q174" s="323"/>
      <c r="R174" s="32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s="2" customFormat="1" ht="60" customHeight="1" x14ac:dyDescent="0.25">
      <c r="A175" s="199" t="s">
        <v>156</v>
      </c>
      <c r="B175" s="104" t="s">
        <v>9</v>
      </c>
      <c r="C175" s="104" t="s">
        <v>12</v>
      </c>
      <c r="D175" s="104" t="s">
        <v>14</v>
      </c>
      <c r="E175" s="104" t="s">
        <v>157</v>
      </c>
      <c r="F175" s="104"/>
      <c r="G175" s="104"/>
      <c r="H175" s="104"/>
      <c r="I175" s="106">
        <f>I176+I177</f>
        <v>6358968</v>
      </c>
      <c r="J175" s="106">
        <f>J177+J176</f>
        <v>2040787.73</v>
      </c>
      <c r="K175" s="106">
        <f>K177+K176</f>
        <v>4318180.2700000005</v>
      </c>
      <c r="L175" s="115"/>
      <c r="M175" s="195"/>
      <c r="N175" s="196"/>
      <c r="O175" s="20">
        <f>I175-J175-K175</f>
        <v>0</v>
      </c>
      <c r="P175" s="21">
        <f t="shared" si="91"/>
        <v>32.093064943871397</v>
      </c>
      <c r="Q175" s="321"/>
      <c r="R175" s="32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33" customHeight="1" x14ac:dyDescent="0.25">
      <c r="A176" s="194" t="s">
        <v>27</v>
      </c>
      <c r="B176" s="112" t="s">
        <v>9</v>
      </c>
      <c r="C176" s="112" t="s">
        <v>12</v>
      </c>
      <c r="D176" s="112" t="s">
        <v>14</v>
      </c>
      <c r="E176" s="112" t="s">
        <v>157</v>
      </c>
      <c r="F176" s="112" t="s">
        <v>63</v>
      </c>
      <c r="G176" s="112" t="s">
        <v>28</v>
      </c>
      <c r="H176" s="129"/>
      <c r="I176" s="116">
        <v>4884000</v>
      </c>
      <c r="J176" s="117">
        <v>1567425.3</v>
      </c>
      <c r="K176" s="116">
        <f>I176-J176</f>
        <v>3316574.7</v>
      </c>
      <c r="L176" s="131"/>
      <c r="M176" s="184"/>
      <c r="N176" s="185"/>
      <c r="O176" s="119">
        <f t="shared" ref="O176:O177" si="92">I176-J176-K176</f>
        <v>0</v>
      </c>
      <c r="P176" s="120">
        <f t="shared" si="91"/>
        <v>32.093065110565114</v>
      </c>
      <c r="Q176" s="325"/>
      <c r="R176" s="326"/>
    </row>
    <row r="177" spans="1:50" s="2" customFormat="1" ht="27.75" customHeight="1" x14ac:dyDescent="0.25">
      <c r="A177" s="175" t="s">
        <v>31</v>
      </c>
      <c r="B177" s="112" t="s">
        <v>9</v>
      </c>
      <c r="C177" s="112" t="s">
        <v>12</v>
      </c>
      <c r="D177" s="112" t="s">
        <v>14</v>
      </c>
      <c r="E177" s="112" t="s">
        <v>157</v>
      </c>
      <c r="F177" s="112" t="s">
        <v>63</v>
      </c>
      <c r="G177" s="112" t="s">
        <v>32</v>
      </c>
      <c r="H177" s="112"/>
      <c r="I177" s="116">
        <v>1474968</v>
      </c>
      <c r="J177" s="117">
        <v>473362.43</v>
      </c>
      <c r="K177" s="116">
        <f>I177-J177</f>
        <v>1001605.5700000001</v>
      </c>
      <c r="L177" s="131"/>
      <c r="M177" s="182"/>
      <c r="N177" s="183"/>
      <c r="O177" s="119">
        <f t="shared" si="92"/>
        <v>0</v>
      </c>
      <c r="P177" s="120">
        <f t="shared" si="91"/>
        <v>32.09306439190545</v>
      </c>
      <c r="Q177" s="323"/>
      <c r="R177" s="32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customHeight="1" x14ac:dyDescent="0.25">
      <c r="A178" s="199" t="s">
        <v>156</v>
      </c>
      <c r="B178" s="104" t="s">
        <v>9</v>
      </c>
      <c r="C178" s="104" t="s">
        <v>12</v>
      </c>
      <c r="D178" s="104" t="s">
        <v>14</v>
      </c>
      <c r="E178" s="104" t="s">
        <v>158</v>
      </c>
      <c r="F178" s="104"/>
      <c r="G178" s="104"/>
      <c r="H178" s="104"/>
      <c r="I178" s="106">
        <f>I179+I180</f>
        <v>289044</v>
      </c>
      <c r="J178" s="106">
        <f>J180+J179</f>
        <v>90209.799999999988</v>
      </c>
      <c r="K178" s="106">
        <f>K180+K179</f>
        <v>198834.2</v>
      </c>
      <c r="L178" s="115"/>
      <c r="M178" s="195"/>
      <c r="N178" s="196"/>
      <c r="O178" s="20">
        <f>I178-J178-K178</f>
        <v>0</v>
      </c>
      <c r="P178" s="21">
        <f t="shared" si="91"/>
        <v>31.209712016163628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customHeight="1" x14ac:dyDescent="0.25">
      <c r="A179" s="194" t="s">
        <v>27</v>
      </c>
      <c r="B179" s="112" t="s">
        <v>9</v>
      </c>
      <c r="C179" s="112" t="s">
        <v>12</v>
      </c>
      <c r="D179" s="112" t="s">
        <v>14</v>
      </c>
      <c r="E179" s="112" t="s">
        <v>158</v>
      </c>
      <c r="F179" s="112" t="s">
        <v>63</v>
      </c>
      <c r="G179" s="112" t="s">
        <v>28</v>
      </c>
      <c r="H179" s="129"/>
      <c r="I179" s="116">
        <v>222000</v>
      </c>
      <c r="J179" s="117">
        <v>69285.539999999994</v>
      </c>
      <c r="K179" s="130">
        <f>I179-J179</f>
        <v>152714.46000000002</v>
      </c>
      <c r="L179" s="131"/>
      <c r="M179" s="184"/>
      <c r="N179" s="185"/>
      <c r="O179" s="119">
        <f t="shared" ref="O179:O180" si="93">I179-J179-K179</f>
        <v>0</v>
      </c>
      <c r="P179" s="120">
        <f t="shared" si="91"/>
        <v>31.209702702702703</v>
      </c>
      <c r="Q179" s="325"/>
      <c r="R179" s="326"/>
    </row>
    <row r="180" spans="1:50" s="2" customFormat="1" ht="27.75" customHeight="1" x14ac:dyDescent="0.25">
      <c r="A180" s="175" t="s">
        <v>31</v>
      </c>
      <c r="B180" s="112" t="s">
        <v>9</v>
      </c>
      <c r="C180" s="112" t="s">
        <v>12</v>
      </c>
      <c r="D180" s="112" t="s">
        <v>14</v>
      </c>
      <c r="E180" s="112" t="s">
        <v>158</v>
      </c>
      <c r="F180" s="112" t="s">
        <v>63</v>
      </c>
      <c r="G180" s="112" t="s">
        <v>32</v>
      </c>
      <c r="H180" s="112"/>
      <c r="I180" s="116">
        <v>67044</v>
      </c>
      <c r="J180" s="117">
        <v>20924.259999999998</v>
      </c>
      <c r="K180" s="116">
        <f>I180-J180</f>
        <v>46119.740000000005</v>
      </c>
      <c r="L180" s="131"/>
      <c r="M180" s="182"/>
      <c r="N180" s="183"/>
      <c r="O180" s="119">
        <f t="shared" si="93"/>
        <v>0</v>
      </c>
      <c r="P180" s="120">
        <f t="shared" si="91"/>
        <v>31.209742855438215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9.5" customHeight="1" x14ac:dyDescent="0.25">
      <c r="A181" s="327" t="s">
        <v>80</v>
      </c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9"/>
      <c r="Q181" s="330"/>
      <c r="R181" s="330"/>
    </row>
    <row r="182" spans="1:50" s="15" customFormat="1" ht="64.5" customHeight="1" x14ac:dyDescent="0.25">
      <c r="A182" s="202" t="s">
        <v>120</v>
      </c>
      <c r="B182" s="16" t="s">
        <v>81</v>
      </c>
      <c r="C182" s="16" t="s">
        <v>82</v>
      </c>
      <c r="D182" s="16" t="s">
        <v>82</v>
      </c>
      <c r="E182" s="16" t="s">
        <v>83</v>
      </c>
      <c r="F182" s="16" t="s">
        <v>81</v>
      </c>
      <c r="G182" s="16"/>
      <c r="H182" s="16"/>
      <c r="I182" s="17">
        <f>I183</f>
        <v>4268106.4000000004</v>
      </c>
      <c r="J182" s="17">
        <f>J183</f>
        <v>1291186.71</v>
      </c>
      <c r="K182" s="17">
        <f>I182-J182</f>
        <v>2976919.6900000004</v>
      </c>
      <c r="L182" s="17">
        <f t="shared" ref="L182:N182" si="94">L183</f>
        <v>0</v>
      </c>
      <c r="M182" s="17">
        <f t="shared" si="94"/>
        <v>0</v>
      </c>
      <c r="N182" s="17">
        <f t="shared" si="94"/>
        <v>0</v>
      </c>
      <c r="O182" s="20">
        <f t="shared" ref="O182:O183" si="95">I182-J182-K182</f>
        <v>0</v>
      </c>
      <c r="P182" s="21">
        <f>J182/I182*100</f>
        <v>30.251980363001259</v>
      </c>
      <c r="Q182" s="331"/>
      <c r="R182" s="331"/>
      <c r="S182" s="1"/>
      <c r="T182" s="1"/>
      <c r="U182" s="1"/>
      <c r="V182" s="1"/>
      <c r="W182" s="1"/>
      <c r="X182" s="1"/>
      <c r="Y182" s="1"/>
    </row>
    <row r="183" spans="1:50" s="15" customFormat="1" ht="18.75" customHeight="1" x14ac:dyDescent="0.25">
      <c r="A183" s="32" t="s">
        <v>113</v>
      </c>
      <c r="B183" s="22" t="s">
        <v>81</v>
      </c>
      <c r="C183" s="22" t="s">
        <v>82</v>
      </c>
      <c r="D183" s="22" t="s">
        <v>82</v>
      </c>
      <c r="E183" s="22" t="s">
        <v>83</v>
      </c>
      <c r="F183" s="22" t="s">
        <v>81</v>
      </c>
      <c r="G183" s="22" t="s">
        <v>114</v>
      </c>
      <c r="H183" s="22"/>
      <c r="I183" s="35">
        <v>4268106.4000000004</v>
      </c>
      <c r="J183" s="35">
        <v>1291186.71</v>
      </c>
      <c r="K183" s="23">
        <f>I183-J183</f>
        <v>2976919.6900000004</v>
      </c>
      <c r="L183" s="38"/>
      <c r="M183" s="29"/>
      <c r="N183" s="1"/>
      <c r="O183" s="25">
        <f t="shared" si="95"/>
        <v>0</v>
      </c>
      <c r="P183" s="26">
        <f>J183/I183*100</f>
        <v>30.251980363001259</v>
      </c>
      <c r="Q183" s="331"/>
      <c r="R183" s="331"/>
      <c r="S183" s="1"/>
      <c r="T183" s="1"/>
      <c r="U183" s="1"/>
      <c r="V183" s="1"/>
      <c r="W183" s="1"/>
      <c r="X183" s="1"/>
      <c r="Y183" s="1"/>
    </row>
    <row r="184" spans="1:50" ht="0.75" customHeight="1" x14ac:dyDescent="0.25">
      <c r="A184" s="70"/>
      <c r="B184" s="70"/>
      <c r="C184" s="70"/>
      <c r="D184" s="70"/>
      <c r="E184" s="70"/>
      <c r="F184" s="70"/>
      <c r="G184" s="70"/>
      <c r="H184" s="71"/>
      <c r="I184" s="126"/>
      <c r="J184" s="127"/>
      <c r="K184" s="72"/>
      <c r="L184" s="1"/>
      <c r="M184" s="1"/>
    </row>
    <row r="185" spans="1:50" ht="27.75" customHeight="1" x14ac:dyDescent="0.25">
      <c r="A185" s="77"/>
      <c r="B185" s="78"/>
      <c r="C185" s="78"/>
      <c r="D185" s="78"/>
      <c r="E185" s="78"/>
      <c r="F185" s="78"/>
      <c r="G185" s="1"/>
      <c r="H185" s="1"/>
      <c r="I185" s="1"/>
      <c r="J185" s="1"/>
      <c r="K185" s="1"/>
      <c r="L185" s="73"/>
      <c r="M185" s="74"/>
      <c r="N185" s="75"/>
      <c r="O185" s="75"/>
      <c r="P185" s="75"/>
    </row>
    <row r="186" spans="1:50" ht="40.5" customHeight="1" x14ac:dyDescent="0.25">
      <c r="A186" s="379" t="s">
        <v>176</v>
      </c>
      <c r="B186" s="379"/>
      <c r="C186" s="379"/>
      <c r="D186" s="379"/>
      <c r="E186" s="379"/>
      <c r="F186" s="379"/>
      <c r="G186" s="379"/>
      <c r="H186" s="80"/>
      <c r="I186" s="1"/>
      <c r="J186" s="1"/>
      <c r="K186" s="1"/>
      <c r="L186" s="73"/>
      <c r="M186" s="74"/>
      <c r="N186" s="75"/>
      <c r="O186" s="75"/>
      <c r="P186" s="75"/>
    </row>
    <row r="187" spans="1:50" ht="15" customHeight="1" x14ac:dyDescent="0.25">
      <c r="A187" s="379" t="s">
        <v>177</v>
      </c>
      <c r="B187" s="379"/>
      <c r="C187" s="379"/>
      <c r="D187" s="379"/>
      <c r="E187" s="379"/>
      <c r="F187" s="379"/>
      <c r="G187" s="379"/>
      <c r="H187" s="80"/>
      <c r="I187" s="1"/>
      <c r="J187" s="1"/>
      <c r="K187" s="1"/>
      <c r="L187" s="73"/>
      <c r="M187" s="74"/>
      <c r="N187" s="75"/>
      <c r="O187" s="75"/>
      <c r="P187" s="75"/>
    </row>
    <row r="188" spans="1:50" ht="18.75" x14ac:dyDescent="0.25">
      <c r="A188" s="83"/>
      <c r="B188" s="84"/>
      <c r="C188" s="84"/>
      <c r="D188" s="84"/>
      <c r="E188" s="84"/>
      <c r="F188" s="84"/>
      <c r="G188" s="1"/>
      <c r="H188" s="1"/>
      <c r="I188" s="1"/>
      <c r="J188" s="1"/>
      <c r="K188" s="1"/>
      <c r="L188" s="73"/>
      <c r="M188" s="74"/>
      <c r="N188" s="75"/>
      <c r="O188" s="75"/>
      <c r="P188" s="75"/>
    </row>
    <row r="189" spans="1:50" x14ac:dyDescent="0.25">
      <c r="A189" s="1"/>
      <c r="B189" s="1"/>
      <c r="C189" s="1"/>
      <c r="D189" s="1"/>
      <c r="E189" s="1"/>
      <c r="F189" s="1"/>
      <c r="L189" s="73"/>
      <c r="M189" s="74"/>
      <c r="N189" s="75"/>
      <c r="O189" s="75"/>
      <c r="P189" s="75"/>
    </row>
    <row r="190" spans="1:50" x14ac:dyDescent="0.25">
      <c r="A190" s="1"/>
      <c r="B190" s="1"/>
      <c r="C190" s="1"/>
      <c r="D190" s="1"/>
      <c r="E190" s="1"/>
      <c r="F190" s="1"/>
      <c r="L190" s="73"/>
      <c r="M190" s="74"/>
      <c r="N190" s="75"/>
      <c r="O190" s="75"/>
      <c r="P190" s="75"/>
    </row>
    <row r="191" spans="1:50" x14ac:dyDescent="0.25">
      <c r="A191" s="1"/>
      <c r="B191" s="1"/>
      <c r="C191" s="1"/>
      <c r="D191" s="1"/>
      <c r="E191" s="1"/>
      <c r="F191" s="1"/>
      <c r="L191" s="73"/>
      <c r="M191" s="74"/>
      <c r="N191" s="75"/>
      <c r="O191" s="75"/>
      <c r="P191" s="75"/>
    </row>
    <row r="192" spans="1:50" x14ac:dyDescent="0.25">
      <c r="A192" s="1"/>
      <c r="B192" s="1"/>
      <c r="C192" s="1"/>
      <c r="D192" s="1"/>
      <c r="E192" s="1"/>
      <c r="F192" s="1"/>
    </row>
    <row r="193" spans="1:50" x14ac:dyDescent="0.25">
      <c r="A193" s="1"/>
      <c r="B193" s="1"/>
      <c r="C193" s="1"/>
      <c r="D193" s="1"/>
      <c r="E193" s="1"/>
      <c r="F193" s="1"/>
      <c r="L193" s="1"/>
      <c r="M193" s="1"/>
    </row>
    <row r="194" spans="1:50" x14ac:dyDescent="0.25">
      <c r="A194" s="1"/>
      <c r="B194" s="1"/>
      <c r="C194" s="1"/>
      <c r="D194" s="1"/>
      <c r="E194" s="1"/>
      <c r="F194" s="1"/>
      <c r="L194" s="1"/>
      <c r="M194" s="1"/>
    </row>
    <row r="195" spans="1:50" x14ac:dyDescent="0.25">
      <c r="A195" s="1"/>
      <c r="B195" s="1"/>
      <c r="C195" s="1"/>
      <c r="D195" s="1"/>
      <c r="E195" s="1"/>
      <c r="F195" s="1"/>
      <c r="L195" s="1"/>
      <c r="M195" s="1"/>
    </row>
    <row r="196" spans="1:50" x14ac:dyDescent="0.25">
      <c r="A196" s="1"/>
      <c r="B196" s="1"/>
      <c r="C196" s="1"/>
      <c r="D196" s="1"/>
      <c r="E196" s="1"/>
      <c r="F196" s="1"/>
      <c r="L196" s="1"/>
      <c r="M196" s="1"/>
    </row>
    <row r="197" spans="1:50" x14ac:dyDescent="0.25">
      <c r="A197" s="1"/>
      <c r="B197" s="1"/>
      <c r="C197" s="1"/>
      <c r="D197" s="1"/>
      <c r="E197" s="1"/>
      <c r="F197" s="1"/>
    </row>
    <row r="198" spans="1:50" x14ac:dyDescent="0.25">
      <c r="A198" s="1"/>
      <c r="B198" s="1"/>
      <c r="C198" s="1"/>
      <c r="D198" s="1"/>
      <c r="E198" s="1"/>
      <c r="F198" s="1"/>
    </row>
    <row r="199" spans="1:50" x14ac:dyDescent="0.25">
      <c r="A199" s="1"/>
      <c r="B199" s="1"/>
      <c r="C199" s="1"/>
      <c r="D199" s="1"/>
      <c r="E199" s="1"/>
      <c r="F199" s="1"/>
    </row>
    <row r="200" spans="1:50" x14ac:dyDescent="0.25">
      <c r="A200" s="1"/>
      <c r="B200" s="1"/>
      <c r="C200" s="1"/>
      <c r="D200" s="1"/>
      <c r="E200" s="1"/>
      <c r="F200" s="1"/>
    </row>
    <row r="201" spans="1:50" x14ac:dyDescent="0.25">
      <c r="A201" s="1"/>
      <c r="B201" s="1"/>
      <c r="C201" s="1"/>
      <c r="D201" s="1"/>
      <c r="E201" s="1"/>
      <c r="F201" s="1"/>
    </row>
    <row r="202" spans="1:50" x14ac:dyDescent="0.25">
      <c r="A202" s="1"/>
      <c r="B202" s="1"/>
      <c r="C202" s="1"/>
      <c r="D202" s="1"/>
      <c r="E202" s="1"/>
      <c r="F202" s="1"/>
    </row>
    <row r="203" spans="1:50" x14ac:dyDescent="0.25">
      <c r="A203" s="1"/>
      <c r="B203" s="1"/>
      <c r="C203" s="1"/>
      <c r="D203" s="1"/>
      <c r="E203" s="1"/>
      <c r="F203" s="1"/>
    </row>
    <row r="204" spans="1:50" x14ac:dyDescent="0.25">
      <c r="A204" s="1"/>
      <c r="B204" s="1"/>
      <c r="C204" s="1"/>
      <c r="D204" s="1"/>
      <c r="E204" s="1"/>
      <c r="F204" s="1"/>
    </row>
    <row r="205" spans="1:50" x14ac:dyDescent="0.25">
      <c r="A205" s="1"/>
      <c r="B205" s="1"/>
      <c r="C205" s="1"/>
      <c r="D205" s="1"/>
      <c r="E205" s="1"/>
      <c r="F205" s="1"/>
    </row>
    <row r="206" spans="1:50" x14ac:dyDescent="0.25">
      <c r="A206" s="1"/>
      <c r="B206" s="1"/>
      <c r="C206" s="1"/>
      <c r="D206" s="1"/>
      <c r="E206" s="1"/>
      <c r="F206" s="1"/>
    </row>
    <row r="207" spans="1:50" x14ac:dyDescent="0.25">
      <c r="A207" s="1"/>
      <c r="B207" s="1"/>
      <c r="C207" s="1"/>
      <c r="D207" s="1"/>
      <c r="E207" s="1"/>
      <c r="F207" s="1"/>
    </row>
    <row r="208" spans="1:50" s="68" customFormat="1" x14ac:dyDescent="0.25">
      <c r="A208" s="1"/>
      <c r="B208" s="1"/>
      <c r="C208" s="1"/>
      <c r="D208" s="1"/>
      <c r="E208" s="1"/>
      <c r="F208" s="1"/>
      <c r="I208" s="128"/>
      <c r="J208" s="128"/>
      <c r="K208" s="76"/>
      <c r="L208" s="76"/>
      <c r="M208" s="2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68" customFormat="1" x14ac:dyDescent="0.25">
      <c r="A209" s="85"/>
      <c r="I209" s="128"/>
      <c r="J209" s="128"/>
      <c r="K209" s="76"/>
      <c r="L209" s="76"/>
      <c r="M209" s="2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68" customFormat="1" x14ac:dyDescent="0.25">
      <c r="A210" s="85"/>
      <c r="I210" s="128"/>
      <c r="J210" s="128"/>
      <c r="K210" s="76"/>
      <c r="L210" s="76"/>
      <c r="M210" s="2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68" customFormat="1" x14ac:dyDescent="0.25">
      <c r="A211" s="85"/>
      <c r="I211" s="128"/>
      <c r="J211" s="128"/>
      <c r="K211" s="76"/>
      <c r="L211" s="76"/>
      <c r="M211" s="2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68" customFormat="1" x14ac:dyDescent="0.25">
      <c r="A212" s="85"/>
      <c r="I212" s="128"/>
      <c r="J212" s="128"/>
      <c r="K212" s="76"/>
      <c r="L212" s="76"/>
      <c r="M212" s="2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68" customFormat="1" x14ac:dyDescent="0.25">
      <c r="A213" s="85"/>
      <c r="I213" s="128"/>
      <c r="J213" s="128"/>
      <c r="K213" s="76"/>
      <c r="L213" s="76"/>
      <c r="M213" s="2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68" customFormat="1" x14ac:dyDescent="0.25">
      <c r="A214" s="85"/>
      <c r="I214" s="128"/>
      <c r="J214" s="128"/>
      <c r="K214" s="76"/>
      <c r="L214" s="76"/>
      <c r="M214" s="2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68" customFormat="1" x14ac:dyDescent="0.25">
      <c r="A215" s="85"/>
      <c r="I215" s="128"/>
      <c r="J215" s="128"/>
      <c r="K215" s="76"/>
      <c r="L215" s="76"/>
      <c r="M215" s="2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68" customFormat="1" x14ac:dyDescent="0.25">
      <c r="A216" s="85"/>
      <c r="I216" s="128"/>
      <c r="J216" s="128"/>
      <c r="K216" s="76"/>
      <c r="L216" s="76"/>
      <c r="M216" s="2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</sheetData>
  <mergeCells count="173"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A69:P69"/>
    <mergeCell ref="Q69:R69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70:R70"/>
    <mergeCell ref="Q71:R71"/>
    <mergeCell ref="Q72:R72"/>
    <mergeCell ref="Q73:R73"/>
    <mergeCell ref="Q74:R74"/>
    <mergeCell ref="Q75:R75"/>
    <mergeCell ref="Q57:R57"/>
    <mergeCell ref="Q58:R58"/>
    <mergeCell ref="Q59:R59"/>
    <mergeCell ref="Q60:R60"/>
    <mergeCell ref="Q61:R68"/>
    <mergeCell ref="Q82:R82"/>
    <mergeCell ref="Q83:R83"/>
    <mergeCell ref="Q84:R84"/>
    <mergeCell ref="Q85:R85"/>
    <mergeCell ref="Q86:R86"/>
    <mergeCell ref="Q87:R87"/>
    <mergeCell ref="Q76:R76"/>
    <mergeCell ref="Q77:R77"/>
    <mergeCell ref="Q78:R78"/>
    <mergeCell ref="Q79:R79"/>
    <mergeCell ref="Q80:R80"/>
    <mergeCell ref="Q81:R81"/>
    <mergeCell ref="A104:P104"/>
    <mergeCell ref="Q104:R104"/>
    <mergeCell ref="Q94:R94"/>
    <mergeCell ref="Q95:R95"/>
    <mergeCell ref="Q96:R96"/>
    <mergeCell ref="Q97:R97"/>
    <mergeCell ref="Q98:R98"/>
    <mergeCell ref="Q99:R99"/>
    <mergeCell ref="Q88:R88"/>
    <mergeCell ref="Q89:R89"/>
    <mergeCell ref="Q90:R90"/>
    <mergeCell ref="Q91:R91"/>
    <mergeCell ref="Q92:R92"/>
    <mergeCell ref="Q93:R93"/>
    <mergeCell ref="Q105:R105"/>
    <mergeCell ref="Q106:R106"/>
    <mergeCell ref="Q107:R107"/>
    <mergeCell ref="Q108:R108"/>
    <mergeCell ref="Q109:R109"/>
    <mergeCell ref="Q110:R110"/>
    <mergeCell ref="Q100:R100"/>
    <mergeCell ref="Q101:R101"/>
    <mergeCell ref="Q102:R102"/>
    <mergeCell ref="Q103:R103"/>
    <mergeCell ref="Q117:R117"/>
    <mergeCell ref="Q118:R118"/>
    <mergeCell ref="Q119:R119"/>
    <mergeCell ref="Q120:R120"/>
    <mergeCell ref="Q121:R121"/>
    <mergeCell ref="Q122:R122"/>
    <mergeCell ref="Q111:R111"/>
    <mergeCell ref="Q112:R112"/>
    <mergeCell ref="Q113:R113"/>
    <mergeCell ref="Q114:R114"/>
    <mergeCell ref="Q115:R115"/>
    <mergeCell ref="Q116:R116"/>
    <mergeCell ref="Q134:R135"/>
    <mergeCell ref="Q137:R138"/>
    <mergeCell ref="Q139:R139"/>
    <mergeCell ref="Q140:R140"/>
    <mergeCell ref="Q141:R143"/>
    <mergeCell ref="Q144:R145"/>
    <mergeCell ref="Q123:R123"/>
    <mergeCell ref="Q125:R125"/>
    <mergeCell ref="Q126:R126"/>
    <mergeCell ref="Q127:R129"/>
    <mergeCell ref="Q130:R131"/>
    <mergeCell ref="Q132:R133"/>
    <mergeCell ref="Q152:R152"/>
    <mergeCell ref="Q153:R153"/>
    <mergeCell ref="Q154:R154"/>
    <mergeCell ref="Q155:R155"/>
    <mergeCell ref="Q156:R156"/>
    <mergeCell ref="Q157:R157"/>
    <mergeCell ref="Q146:R147"/>
    <mergeCell ref="A148:P148"/>
    <mergeCell ref="Q148:R148"/>
    <mergeCell ref="Q149:R149"/>
    <mergeCell ref="Q150:R150"/>
    <mergeCell ref="Q151:R151"/>
    <mergeCell ref="Q164:R164"/>
    <mergeCell ref="Q165:R165"/>
    <mergeCell ref="Q166:R166"/>
    <mergeCell ref="Q167:R167"/>
    <mergeCell ref="Q168:R168"/>
    <mergeCell ref="Q169:R169"/>
    <mergeCell ref="Q158:R158"/>
    <mergeCell ref="Q159:R159"/>
    <mergeCell ref="Q160:R160"/>
    <mergeCell ref="Q161:R161"/>
    <mergeCell ref="Q162:R162"/>
    <mergeCell ref="Q163:R163"/>
    <mergeCell ref="Q182:R182"/>
    <mergeCell ref="Q183:R183"/>
    <mergeCell ref="A186:G186"/>
    <mergeCell ref="A187:G187"/>
    <mergeCell ref="Q170:R170"/>
    <mergeCell ref="Q171:R171"/>
    <mergeCell ref="Q172:R174"/>
    <mergeCell ref="Q175:R177"/>
    <mergeCell ref="Q178:R180"/>
    <mergeCell ref="A181:P181"/>
    <mergeCell ref="Q181:R181"/>
  </mergeCells>
  <printOptions horizontalCentered="1"/>
  <pageMargins left="3.937007874015748E-2" right="3.937007874015748E-2" top="0.15748031496062992" bottom="0" header="0.11811023622047245" footer="0"/>
  <pageSetup paperSize="9" scale="55" fitToHeight="7" orientation="landscape" r:id="rId1"/>
  <rowBreaks count="2" manualBreakCount="2">
    <brk id="37" max="17" man="1"/>
    <brk id="6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218"/>
  <sheetViews>
    <sheetView showWhiteSpace="0" view="pageBreakPreview" zoomScale="50" zoomScaleNormal="75" zoomScaleSheetLayoutView="50" workbookViewId="0">
      <pane ySplit="5" topLeftCell="A6" activePane="bottomLeft" state="frozen"/>
      <selection pane="bottomLeft" activeCell="A2" sqref="A2:P2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9.140625" style="1"/>
    <col min="20" max="20" width="24.7109375" style="1" bestFit="1" customWidth="1"/>
    <col min="21" max="21" width="9.140625" style="1"/>
    <col min="22" max="22" width="23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180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182</v>
      </c>
      <c r="K3" s="353" t="s">
        <v>6</v>
      </c>
      <c r="L3" s="169"/>
      <c r="M3" s="170"/>
      <c r="N3" s="169"/>
      <c r="O3" s="353" t="s">
        <v>7</v>
      </c>
      <c r="P3" s="355" t="s">
        <v>183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 t="shared" ref="I6:N6" si="0">I8+I72+I107+I151+I184</f>
        <v>124457171.21000001</v>
      </c>
      <c r="J6" s="160">
        <f t="shared" si="0"/>
        <v>51372208.349999994</v>
      </c>
      <c r="K6" s="160">
        <f t="shared" si="0"/>
        <v>73084962.860000014</v>
      </c>
      <c r="L6" s="160" t="e">
        <f t="shared" si="0"/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0</v>
      </c>
      <c r="P6" s="163">
        <f>J6/I6*100</f>
        <v>41.277017507748312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I9+I61+I69</f>
        <v>24532970.259999998</v>
      </c>
      <c r="J8" s="9">
        <f>J9+J61+J69</f>
        <v>9374759.8800000008</v>
      </c>
      <c r="K8" s="9">
        <f>K9+K61+K69</f>
        <v>15158210.380000001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 t="shared" ref="O8:O12" si="1">I8-J8-K8</f>
        <v>0</v>
      </c>
      <c r="P8" s="12">
        <f>J8/I8*100</f>
        <v>38.2129019871889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</f>
        <v>24304157.369999997</v>
      </c>
      <c r="J9" s="157">
        <f>J10+J41+J46+J48+J50+J53+J59+J56</f>
        <v>9354681.4600000009</v>
      </c>
      <c r="K9" s="157">
        <f>K10+K41+K46+K48+K50+K53+K59+K56</f>
        <v>14949475.91</v>
      </c>
      <c r="L9" s="14" t="e">
        <f>L10+L41+L46+L48+L50+L53+L59+L56+L61+L69+#REF!</f>
        <v>#REF!</v>
      </c>
      <c r="M9" s="14" t="e">
        <f>M10+M41+M46+M48+M50+M53+M59+M56+M61+M69+#REF!</f>
        <v>#REF!</v>
      </c>
      <c r="N9" s="14" t="e">
        <f>N10+N41+N46+N48+N50+N53+N59+N56+N61+N69+#REF!</f>
        <v>#REF!</v>
      </c>
      <c r="O9" s="95">
        <f>I9-J9-K9</f>
        <v>0</v>
      </c>
      <c r="P9" s="96">
        <f t="shared" ref="P9:P60" si="2">J9/I9*100</f>
        <v>38.490046445909769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 t="shared" ref="I10:N12" si="3">I11</f>
        <v>10906429.089999998</v>
      </c>
      <c r="J10" s="17">
        <f t="shared" si="3"/>
        <v>4116346.31</v>
      </c>
      <c r="K10" s="17">
        <f t="shared" si="3"/>
        <v>6790082.7800000012</v>
      </c>
      <c r="L10" s="17" t="e">
        <f t="shared" si="3"/>
        <v>#REF!</v>
      </c>
      <c r="M10" s="17">
        <f t="shared" si="3"/>
        <v>0</v>
      </c>
      <c r="N10" s="17">
        <f t="shared" si="3"/>
        <v>0</v>
      </c>
      <c r="O10" s="20">
        <f t="shared" si="1"/>
        <v>0</v>
      </c>
      <c r="P10" s="21">
        <f t="shared" si="2"/>
        <v>37.742383653089895</v>
      </c>
      <c r="Q10" s="352"/>
      <c r="R10" s="352"/>
    </row>
    <row r="11" spans="1:50" ht="56.25" x14ac:dyDescent="0.3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10906429.089999998</v>
      </c>
      <c r="J11" s="28">
        <f t="shared" si="3"/>
        <v>4116346.31</v>
      </c>
      <c r="K11" s="33">
        <f t="shared" si="3"/>
        <v>6790082.7800000012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si="1"/>
        <v>0</v>
      </c>
      <c r="P11" s="31">
        <f t="shared" si="2"/>
        <v>37.742383653089895</v>
      </c>
      <c r="Q11" s="352"/>
      <c r="R11" s="352"/>
      <c r="T11" s="226">
        <v>124457171.20999999</v>
      </c>
      <c r="U11" s="227"/>
      <c r="V11" s="226">
        <v>51372208.350000001</v>
      </c>
    </row>
    <row r="12" spans="1:50" ht="23.25" customHeight="1" x14ac:dyDescent="0.4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 t="shared" si="3"/>
        <v>10906429.089999998</v>
      </c>
      <c r="J12" s="35">
        <f>J13</f>
        <v>4116346.31</v>
      </c>
      <c r="K12" s="35">
        <f>K13</f>
        <v>6790082.7800000012</v>
      </c>
      <c r="L12" s="87" t="e">
        <f>L13</f>
        <v>#REF!</v>
      </c>
      <c r="M12" s="176"/>
      <c r="N12" s="177"/>
      <c r="O12" s="88">
        <f t="shared" si="1"/>
        <v>0</v>
      </c>
      <c r="P12" s="154">
        <f t="shared" si="2"/>
        <v>37.742383653089895</v>
      </c>
      <c r="Q12" s="352"/>
      <c r="R12" s="352"/>
      <c r="T12" s="224">
        <f>124457171.21-I6</f>
        <v>0</v>
      </c>
      <c r="V12" s="225">
        <f>51372208.35-J6</f>
        <v>0</v>
      </c>
    </row>
    <row r="13" spans="1:50" ht="56.25" x14ac:dyDescent="0.25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10906429.089999998</v>
      </c>
      <c r="J13" s="35">
        <f>J14+J32</f>
        <v>4116346.31</v>
      </c>
      <c r="K13" s="35">
        <f>K14+K32+K28</f>
        <v>6790082.7800000012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154">
        <f t="shared" si="2"/>
        <v>37.742383653089895</v>
      </c>
      <c r="Q13" s="352"/>
      <c r="R13" s="352"/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9406230.3199999984</v>
      </c>
      <c r="J14" s="28">
        <f t="shared" ref="J14:P14" si="4">J15+J22+J27+J29+J30+J31+J21+J18+J28</f>
        <v>3418567.69</v>
      </c>
      <c r="K14" s="28">
        <f t="shared" si="4"/>
        <v>5987662.6300000008</v>
      </c>
      <c r="L14" s="28" t="e">
        <f t="shared" si="4"/>
        <v>#REF!</v>
      </c>
      <c r="M14" s="28">
        <f t="shared" si="4"/>
        <v>1539485.9</v>
      </c>
      <c r="N14" s="28">
        <f t="shared" si="4"/>
        <v>-1892195.64</v>
      </c>
      <c r="O14" s="28">
        <f t="shared" si="4"/>
        <v>0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1148677.3500000001</v>
      </c>
      <c r="K15" s="28">
        <f>K16+K17</f>
        <v>1774695.1099999999</v>
      </c>
      <c r="L15" s="28">
        <f t="shared" ref="L15:N15" si="5">L16+L17+L18</f>
        <v>-309211.20999999996</v>
      </c>
      <c r="M15" s="28">
        <f t="shared" si="5"/>
        <v>1582984.43</v>
      </c>
      <c r="N15" s="28">
        <f t="shared" si="5"/>
        <v>-1892195.64</v>
      </c>
      <c r="O15" s="28">
        <f>O16+O17</f>
        <v>0</v>
      </c>
      <c r="P15" s="155">
        <f>J15/I15*100</f>
        <v>39.292884013828335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964562.01</v>
      </c>
      <c r="K16" s="100">
        <f>I16-J16</f>
        <v>1273773.22</v>
      </c>
      <c r="L16" s="100">
        <f t="shared" ref="L16:N16" si="6">J16-K16</f>
        <v>-309211.20999999996</v>
      </c>
      <c r="M16" s="100">
        <f t="shared" si="6"/>
        <v>1582984.43</v>
      </c>
      <c r="N16" s="100">
        <f t="shared" si="6"/>
        <v>-1892195.64</v>
      </c>
      <c r="O16" s="153">
        <f>I16-J16-K16</f>
        <v>0</v>
      </c>
      <c r="P16" s="154">
        <f t="shared" si="2"/>
        <v>43.092830648070532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184115.34</v>
      </c>
      <c r="K17" s="100">
        <f>I17-J17</f>
        <v>500921.89</v>
      </c>
      <c r="L17" s="165"/>
      <c r="M17" s="176"/>
      <c r="N17" s="177"/>
      <c r="O17" s="153">
        <f t="shared" ref="O17:O21" si="7">I17-J17-K17</f>
        <v>0</v>
      </c>
      <c r="P17" s="154">
        <f t="shared" si="2"/>
        <v>26.876691066849023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45000</v>
      </c>
      <c r="J18" s="33">
        <f t="shared" ref="J18:O18" si="8">J19+J20</f>
        <v>35433</v>
      </c>
      <c r="K18" s="28">
        <f t="shared" si="8"/>
        <v>9567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2"/>
        <v>78.739999999999995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2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35">
        <v>45000</v>
      </c>
      <c r="J20" s="35">
        <v>35433</v>
      </c>
      <c r="K20" s="35">
        <f t="shared" si="9"/>
        <v>9567</v>
      </c>
      <c r="L20" s="28"/>
      <c r="M20" s="28"/>
      <c r="N20" s="28"/>
      <c r="O20" s="35">
        <f t="shared" si="7"/>
        <v>0</v>
      </c>
      <c r="P20" s="154">
        <f t="shared" si="2"/>
        <v>78.739999999999995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28">
        <v>30000</v>
      </c>
      <c r="J21" s="28">
        <v>8940.7800000000007</v>
      </c>
      <c r="K21" s="28">
        <f t="shared" si="9"/>
        <v>21059.22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2"/>
        <v>29.802600000000002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5264109.8599999994</v>
      </c>
      <c r="J22" s="33">
        <f t="shared" ref="J22:P22" si="10">J23+J25+J26+J24</f>
        <v>1721575.0899999999</v>
      </c>
      <c r="K22" s="28">
        <f t="shared" si="10"/>
        <v>3542534.7700000005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97.822673466489505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v>155350.32</v>
      </c>
      <c r="J23" s="23">
        <v>48150.080000000002</v>
      </c>
      <c r="K23" s="35">
        <f>I23-J23</f>
        <v>107200.24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2"/>
        <v>30.994516136175321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100000</v>
      </c>
      <c r="J24" s="23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2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v>2218116.29</v>
      </c>
      <c r="J25" s="23">
        <v>741960.61</v>
      </c>
      <c r="K25" s="35">
        <f>I25-J25</f>
        <v>1476155.6800000002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2"/>
        <v>33.450032054000197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f>2835643.25-45000</f>
        <v>2790643.25</v>
      </c>
      <c r="J26" s="23">
        <v>931464.4</v>
      </c>
      <c r="K26" s="23">
        <f t="shared" si="11"/>
        <v>1859178.85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2"/>
        <v>33.378125276313988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v>1142246.53</v>
      </c>
      <c r="J27" s="23">
        <f>537873-35433</f>
        <v>502440</v>
      </c>
      <c r="K27" s="23">
        <f t="shared" si="11"/>
        <v>639806.53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2"/>
        <v>43.987001650160408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0</v>
      </c>
      <c r="J28" s="23">
        <v>0</v>
      </c>
      <c r="K28" s="23">
        <f t="shared" si="11"/>
        <v>0</v>
      </c>
      <c r="L28" s="24">
        <f t="shared" si="13"/>
        <v>30000</v>
      </c>
      <c r="M28" s="182"/>
      <c r="N28" s="183"/>
      <c r="O28" s="25">
        <f t="shared" si="12"/>
        <v>0</v>
      </c>
      <c r="P28" s="26" t="e">
        <f t="shared" si="2"/>
        <v>#DIV/0!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v>1213.52</v>
      </c>
      <c r="J29" s="230">
        <v>1213.52</v>
      </c>
      <c r="K29" s="23">
        <f t="shared" si="11"/>
        <v>0</v>
      </c>
      <c r="L29" s="38">
        <v>15000</v>
      </c>
      <c r="M29" s="182">
        <f>J29-L29</f>
        <v>-13786.48</v>
      </c>
      <c r="N29" s="183"/>
      <c r="O29" s="25">
        <f t="shared" si="12"/>
        <v>0</v>
      </c>
      <c r="P29" s="26">
        <f t="shared" si="2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v>287.95</v>
      </c>
      <c r="J30" s="231">
        <v>287.95</v>
      </c>
      <c r="K30" s="23">
        <f t="shared" si="11"/>
        <v>0</v>
      </c>
      <c r="L30" s="38">
        <v>30000</v>
      </c>
      <c r="M30" s="182">
        <f>J30-L30</f>
        <v>-29712.05</v>
      </c>
      <c r="N30" s="183"/>
      <c r="O30" s="25">
        <f t="shared" si="12"/>
        <v>0</v>
      </c>
      <c r="P30" s="26">
        <f t="shared" si="2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2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1500198.77</v>
      </c>
      <c r="J32" s="33">
        <f>J34+J33+J37+J38+J39+J40+J35+J36</f>
        <v>697778.62</v>
      </c>
      <c r="K32" s="33">
        <f>K34+K33+K37+K38+K39+K40+K35+K36</f>
        <v>802420.15</v>
      </c>
      <c r="L32" s="33" t="e">
        <f t="shared" ref="L32:O32" si="14">L34+L33+L37+L38+L39+L40</f>
        <v>#REF!</v>
      </c>
      <c r="M32" s="33">
        <f t="shared" si="14"/>
        <v>-4516033.04</v>
      </c>
      <c r="N32" s="33">
        <f t="shared" si="14"/>
        <v>0</v>
      </c>
      <c r="O32" s="33">
        <f t="shared" si="14"/>
        <v>0</v>
      </c>
      <c r="P32" s="31">
        <f t="shared" si="2"/>
        <v>46.512411152023539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v>642896.05000000005</v>
      </c>
      <c r="J33" s="23">
        <v>343491.95</v>
      </c>
      <c r="K33" s="23">
        <f>I33-J33</f>
        <v>299404.10000000003</v>
      </c>
      <c r="L33" s="39" t="e">
        <f>#REF!+#REF!+L76+#REF!+#REF!</f>
        <v>#REF!</v>
      </c>
      <c r="M33" s="182"/>
      <c r="N33" s="183"/>
      <c r="O33" s="25">
        <f t="shared" si="12"/>
        <v>0</v>
      </c>
      <c r="P33" s="26">
        <f t="shared" si="2"/>
        <v>53.42884747853094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40000</v>
      </c>
      <c r="J34" s="23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-2258016.52</v>
      </c>
      <c r="N34" s="23">
        <f t="shared" si="16"/>
        <v>0</v>
      </c>
      <c r="O34" s="25">
        <f t="shared" si="12"/>
        <v>0</v>
      </c>
      <c r="P34" s="26">
        <f t="shared" si="2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2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0</v>
      </c>
      <c r="J36" s="34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2"/>
        <v>#DIV/0!</v>
      </c>
      <c r="Q36" s="219"/>
      <c r="R36" s="220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v>150000</v>
      </c>
      <c r="J37" s="34">
        <v>73861.48</v>
      </c>
      <c r="K37" s="23">
        <f t="shared" si="15"/>
        <v>76138.52</v>
      </c>
      <c r="L37" s="38">
        <v>1178466</v>
      </c>
      <c r="M37" s="182">
        <f>J37-L37</f>
        <v>-1104604.52</v>
      </c>
      <c r="N37" s="183"/>
      <c r="O37" s="25">
        <f t="shared" si="12"/>
        <v>0</v>
      </c>
      <c r="P37" s="26">
        <f t="shared" si="2"/>
        <v>49.240986666666664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v>90000</v>
      </c>
      <c r="J38" s="34">
        <v>25054</v>
      </c>
      <c r="K38" s="23">
        <f t="shared" si="15"/>
        <v>64946</v>
      </c>
      <c r="L38" s="38">
        <v>1178466</v>
      </c>
      <c r="M38" s="182">
        <f>J38-L38</f>
        <v>-1153412</v>
      </c>
      <c r="N38" s="183"/>
      <c r="O38" s="25">
        <f t="shared" si="12"/>
        <v>0</v>
      </c>
      <c r="P38" s="26">
        <f t="shared" si="2"/>
        <v>27.837777777777777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v>537302.72</v>
      </c>
      <c r="J39" s="34">
        <v>248496.69</v>
      </c>
      <c r="K39" s="23">
        <f t="shared" si="15"/>
        <v>288806.02999999997</v>
      </c>
      <c r="L39" s="38"/>
      <c r="M39" s="182"/>
      <c r="N39" s="183"/>
      <c r="O39" s="25">
        <f t="shared" si="12"/>
        <v>0</v>
      </c>
      <c r="P39" s="26">
        <f t="shared" si="2"/>
        <v>46.248917183966611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v>40000</v>
      </c>
      <c r="J40" s="34">
        <v>6874.5</v>
      </c>
      <c r="K40" s="23">
        <f>I40-J40</f>
        <v>33125.5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17.186250000000001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72577.69</v>
      </c>
      <c r="K41" s="17">
        <f>K42+K44+K45+K43</f>
        <v>528878.15</v>
      </c>
      <c r="L41" s="42"/>
      <c r="M41" s="186"/>
      <c r="N41" s="187"/>
      <c r="O41" s="20">
        <f>I41-K41-J41</f>
        <v>0</v>
      </c>
      <c r="P41" s="21">
        <f>J41/I41*100</f>
        <v>12.06700229230462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57616.22</v>
      </c>
      <c r="K42" s="35">
        <f>I42-J42</f>
        <v>411634.48</v>
      </c>
      <c r="L42" s="45"/>
      <c r="M42" s="188"/>
      <c r="N42" s="189"/>
      <c r="O42" s="25">
        <f>I42-K42-J42</f>
        <v>0</v>
      </c>
      <c r="P42" s="26">
        <f t="shared" si="2"/>
        <v>12.278345029639807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14061.47</v>
      </c>
      <c r="K43" s="35">
        <f>I43-J43</f>
        <v>61809.67</v>
      </c>
      <c r="L43" s="45"/>
      <c r="M43" s="188"/>
      <c r="N43" s="189"/>
      <c r="O43" s="25"/>
      <c r="P43" s="26">
        <f t="shared" si="2"/>
        <v>18.533358006746703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0</v>
      </c>
      <c r="K44" s="35">
        <f t="shared" ref="K44:K45" si="17">I44-J44</f>
        <v>51834</v>
      </c>
      <c r="L44" s="45"/>
      <c r="M44" s="188"/>
      <c r="N44" s="189"/>
      <c r="O44" s="25">
        <f>I44-K44-J44</f>
        <v>0</v>
      </c>
      <c r="P44" s="26">
        <f t="shared" si="2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900</v>
      </c>
      <c r="K45" s="35">
        <f t="shared" si="17"/>
        <v>3600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2"/>
        <v>20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228539.98</v>
      </c>
      <c r="K46" s="17">
        <f>K47</f>
        <v>1021460.02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2"/>
        <v>18.2831984</v>
      </c>
      <c r="Q46" s="336"/>
      <c r="R46" s="33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v>1250000</v>
      </c>
      <c r="J47" s="23">
        <v>228539.98</v>
      </c>
      <c r="K47" s="23">
        <f>I47-J47</f>
        <v>1021460.02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2"/>
        <v>18.2831984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4900845.07</v>
      </c>
      <c r="K48" s="17">
        <f t="shared" si="21"/>
        <v>6543707.7300000004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42.822512645491919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v>11444552.800000001</v>
      </c>
      <c r="J49" s="34">
        <v>4900845.07</v>
      </c>
      <c r="K49" s="36">
        <f>I49-J49</f>
        <v>6543707.7300000004</v>
      </c>
      <c r="L49" s="37"/>
      <c r="M49" s="182"/>
      <c r="N49" s="183"/>
      <c r="O49" s="25">
        <f>I49-J49-K49</f>
        <v>0</v>
      </c>
      <c r="P49" s="26">
        <f>J49/I49*100</f>
        <v>42.822512645491919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6903.24</v>
      </c>
      <c r="K50" s="17">
        <f t="shared" si="23"/>
        <v>6465.7799999999988</v>
      </c>
      <c r="L50" s="42"/>
      <c r="M50" s="186"/>
      <c r="N50" s="187"/>
      <c r="O50" s="20">
        <f>I50-J50-K50</f>
        <v>0</v>
      </c>
      <c r="P50" s="21">
        <f t="shared" si="2"/>
        <v>51.636095989085206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6036.93</v>
      </c>
      <c r="K51" s="35">
        <f>I51-J51</f>
        <v>4231.1399999999994</v>
      </c>
      <c r="L51" s="93"/>
      <c r="M51" s="188"/>
      <c r="N51" s="189"/>
      <c r="O51" s="25">
        <f t="shared" ref="O51:O52" si="24">I51-J51-K51</f>
        <v>0</v>
      </c>
      <c r="P51" s="26">
        <f t="shared" si="2"/>
        <v>58.793229886434361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866.31</v>
      </c>
      <c r="K52" s="35">
        <f>I52-J52</f>
        <v>2234.64</v>
      </c>
      <c r="L52" s="93"/>
      <c r="M52" s="188"/>
      <c r="N52" s="189"/>
      <c r="O52" s="25">
        <f t="shared" si="24"/>
        <v>0</v>
      </c>
      <c r="P52" s="26">
        <f t="shared" si="2"/>
        <v>27.936922555990908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29469.17</v>
      </c>
      <c r="K53" s="17">
        <f t="shared" si="25"/>
        <v>58881.44999999999</v>
      </c>
      <c r="L53" s="42"/>
      <c r="M53" s="186"/>
      <c r="N53" s="187"/>
      <c r="O53" s="20">
        <f>I53-J53-K53</f>
        <v>0</v>
      </c>
      <c r="P53" s="21">
        <f t="shared" si="2"/>
        <v>33.354797057451322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67857.62</v>
      </c>
      <c r="J54" s="34">
        <v>22633.77</v>
      </c>
      <c r="K54" s="35">
        <f>I54-J54</f>
        <v>45223.849999999991</v>
      </c>
      <c r="L54" s="93"/>
      <c r="M54" s="188"/>
      <c r="N54" s="189"/>
      <c r="O54" s="25">
        <f t="shared" ref="O54:O55" si="26">I54-J54-K54</f>
        <v>0</v>
      </c>
      <c r="P54" s="26">
        <f t="shared" si="2"/>
        <v>33.354794936810343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20493</v>
      </c>
      <c r="J55" s="34">
        <v>6835.4</v>
      </c>
      <c r="K55" s="35">
        <f>I55-J55</f>
        <v>13657.6</v>
      </c>
      <c r="L55" s="93"/>
      <c r="M55" s="188"/>
      <c r="N55" s="189"/>
      <c r="O55" s="25">
        <f t="shared" si="26"/>
        <v>0</v>
      </c>
      <c r="P55" s="26">
        <f t="shared" si="2"/>
        <v>33.354804079441756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2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2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2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2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2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I64+I65+I66+I67+I68+I62</f>
        <v>208651</v>
      </c>
      <c r="J61" s="17">
        <f t="shared" ref="J61:N61" si="30">J64+J65+J66+J67+J68+J62</f>
        <v>8710</v>
      </c>
      <c r="K61" s="17">
        <f t="shared" si="30"/>
        <v>199941</v>
      </c>
      <c r="L61" s="17" t="e">
        <f t="shared" si="30"/>
        <v>#REF!</v>
      </c>
      <c r="M61" s="17" t="e">
        <f t="shared" si="30"/>
        <v>#REF!</v>
      </c>
      <c r="N61" s="17" t="e">
        <f t="shared" si="30"/>
        <v>#REF!</v>
      </c>
      <c r="O61" s="20">
        <f>I61-J61-K61</f>
        <v>0</v>
      </c>
      <c r="P61" s="21">
        <f>J61/I61*100</f>
        <v>4.1744348217837439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8710</v>
      </c>
      <c r="J62" s="44">
        <f>J63</f>
        <v>8710</v>
      </c>
      <c r="K62" s="33">
        <f t="shared" ref="K62:K63" si="31">I62-J62</f>
        <v>0</v>
      </c>
      <c r="L62" s="92"/>
      <c r="M62" s="184"/>
      <c r="N62" s="185"/>
      <c r="O62" s="30">
        <f t="shared" ref="O62:O63" si="32">I62-J62-K62</f>
        <v>0</v>
      </c>
      <c r="P62" s="31">
        <f t="shared" ref="P62:P63" si="33">J62/I62*100</f>
        <v>100</v>
      </c>
      <c r="Q62" s="325"/>
      <c r="R62" s="326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8710</v>
      </c>
      <c r="J63" s="34">
        <v>8710</v>
      </c>
      <c r="K63" s="23">
        <f t="shared" si="31"/>
        <v>0</v>
      </c>
      <c r="L63" s="24"/>
      <c r="M63" s="182"/>
      <c r="N63" s="183"/>
      <c r="O63" s="25">
        <f t="shared" si="32"/>
        <v>0</v>
      </c>
      <c r="P63" s="26">
        <f t="shared" si="33"/>
        <v>100</v>
      </c>
      <c r="Q63" s="325"/>
      <c r="R63" s="326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181290</v>
      </c>
      <c r="J64" s="34">
        <v>0</v>
      </c>
      <c r="K64" s="34">
        <f>I64-J64</f>
        <v>181290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ref="O64:O66" si="34">I64-J64-K64</f>
        <v>0</v>
      </c>
      <c r="P64" s="26">
        <f t="shared" ref="P64:P68" si="35">J64/I64*100</f>
        <v>0</v>
      </c>
      <c r="Q64" s="325"/>
      <c r="R64" s="326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5000</v>
      </c>
      <c r="J65" s="23">
        <v>0</v>
      </c>
      <c r="K65" s="34">
        <f t="shared" ref="K65:K68" si="36">I65-J65</f>
        <v>5000</v>
      </c>
      <c r="L65" s="38">
        <v>107900</v>
      </c>
      <c r="M65" s="182"/>
      <c r="N65" s="183"/>
      <c r="O65" s="25">
        <f t="shared" si="34"/>
        <v>0</v>
      </c>
      <c r="P65" s="26">
        <f t="shared" si="35"/>
        <v>0</v>
      </c>
      <c r="Q65" s="325"/>
      <c r="R65" s="32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x14ac:dyDescent="0.25">
      <c r="A66" s="99" t="s">
        <v>113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114</v>
      </c>
      <c r="H66" s="22"/>
      <c r="I66" s="23">
        <v>0</v>
      </c>
      <c r="J66" s="34">
        <v>0</v>
      </c>
      <c r="K66" s="34">
        <f t="shared" si="36"/>
        <v>0</v>
      </c>
      <c r="L66" s="45"/>
      <c r="M66" s="188"/>
      <c r="N66" s="189"/>
      <c r="O66" s="25">
        <f t="shared" si="34"/>
        <v>0</v>
      </c>
      <c r="P66" s="26" t="e">
        <f t="shared" si="35"/>
        <v>#DIV/0!</v>
      </c>
      <c r="Q66" s="325"/>
      <c r="R66" s="326"/>
    </row>
    <row r="67" spans="1:50" s="15" customFormat="1" ht="37.5" x14ac:dyDescent="0.25">
      <c r="A67" s="175" t="s">
        <v>109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104</v>
      </c>
      <c r="H67" s="22"/>
      <c r="I67" s="23">
        <v>13651</v>
      </c>
      <c r="J67" s="34">
        <v>0</v>
      </c>
      <c r="K67" s="34">
        <f t="shared" si="36"/>
        <v>13651</v>
      </c>
      <c r="L67" s="38">
        <v>1178466</v>
      </c>
      <c r="M67" s="182">
        <f>J67-L67</f>
        <v>-1178466</v>
      </c>
      <c r="N67" s="183"/>
      <c r="O67" s="25">
        <f>I67-J67-K67</f>
        <v>0</v>
      </c>
      <c r="P67" s="26">
        <v>0</v>
      </c>
      <c r="Q67" s="325"/>
      <c r="R67" s="326"/>
    </row>
    <row r="68" spans="1:50" ht="37.5" x14ac:dyDescent="0.25">
      <c r="A68" s="175" t="s">
        <v>110</v>
      </c>
      <c r="B68" s="22" t="s">
        <v>9</v>
      </c>
      <c r="C68" s="22" t="s">
        <v>12</v>
      </c>
      <c r="D68" s="22" t="s">
        <v>12</v>
      </c>
      <c r="E68" s="22" t="s">
        <v>134</v>
      </c>
      <c r="F68" s="22" t="s">
        <v>22</v>
      </c>
      <c r="G68" s="22" t="s">
        <v>105</v>
      </c>
      <c r="H68" s="22"/>
      <c r="I68" s="23">
        <v>0</v>
      </c>
      <c r="J68" s="34">
        <v>0</v>
      </c>
      <c r="K68" s="34">
        <f t="shared" si="36"/>
        <v>0</v>
      </c>
      <c r="L68" s="45" t="e">
        <f>L103</f>
        <v>#REF!</v>
      </c>
      <c r="M68" s="192"/>
      <c r="N68" s="193"/>
      <c r="O68" s="25">
        <f>I68-J68-K68</f>
        <v>0</v>
      </c>
      <c r="P68" s="26" t="e">
        <f t="shared" si="35"/>
        <v>#DIV/0!</v>
      </c>
      <c r="Q68" s="325"/>
      <c r="R68" s="326"/>
    </row>
    <row r="69" spans="1:50" ht="121.5" customHeight="1" x14ac:dyDescent="0.25">
      <c r="A69" s="190" t="s">
        <v>64</v>
      </c>
      <c r="B69" s="41" t="s">
        <v>9</v>
      </c>
      <c r="C69" s="41" t="s">
        <v>12</v>
      </c>
      <c r="D69" s="41" t="s">
        <v>12</v>
      </c>
      <c r="E69" s="41" t="s">
        <v>65</v>
      </c>
      <c r="F69" s="41"/>
      <c r="G69" s="41"/>
      <c r="H69" s="41"/>
      <c r="I69" s="17">
        <f>I70</f>
        <v>20161.89</v>
      </c>
      <c r="J69" s="17">
        <f>J70</f>
        <v>11368.42</v>
      </c>
      <c r="K69" s="17">
        <f>K70</f>
        <v>8793.4699999999993</v>
      </c>
      <c r="L69" s="42"/>
      <c r="M69" s="186"/>
      <c r="N69" s="187"/>
      <c r="O69" s="20">
        <f>I69-J69-K69</f>
        <v>0</v>
      </c>
      <c r="P69" s="21">
        <f>J69/I69*100</f>
        <v>56.385686064153703</v>
      </c>
      <c r="Q69" s="325"/>
      <c r="R69" s="326"/>
    </row>
    <row r="70" spans="1:50" ht="40.5" customHeight="1" x14ac:dyDescent="0.25">
      <c r="A70" s="175" t="s">
        <v>109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104</v>
      </c>
      <c r="H70" s="22"/>
      <c r="I70" s="23">
        <v>20161.89</v>
      </c>
      <c r="J70" s="34">
        <v>11368.42</v>
      </c>
      <c r="K70" s="34">
        <f>I70-J70</f>
        <v>8793.4699999999993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ref="O70" si="37">I70-J70-K70</f>
        <v>0</v>
      </c>
      <c r="P70" s="26">
        <f t="shared" ref="P70" si="38">J70/I70*100</f>
        <v>56.385686064153703</v>
      </c>
      <c r="Q70" s="325"/>
      <c r="R70" s="326"/>
    </row>
    <row r="71" spans="1:50" s="2" customFormat="1" ht="20.25" customHeight="1" x14ac:dyDescent="0.3">
      <c r="A71" s="333" t="s">
        <v>54</v>
      </c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5"/>
      <c r="Q71" s="340"/>
      <c r="R71" s="340"/>
    </row>
    <row r="72" spans="1:50" ht="19.5" x14ac:dyDescent="0.25">
      <c r="A72" s="173" t="s">
        <v>11</v>
      </c>
      <c r="B72" s="8" t="s">
        <v>9</v>
      </c>
      <c r="C72" s="8" t="s">
        <v>12</v>
      </c>
      <c r="D72" s="8"/>
      <c r="E72" s="8"/>
      <c r="F72" s="8"/>
      <c r="G72" s="8"/>
      <c r="H72" s="8"/>
      <c r="I72" s="9">
        <f t="shared" ref="I72:N72" si="39">I73+I103</f>
        <v>77734610</v>
      </c>
      <c r="J72" s="9">
        <f t="shared" si="39"/>
        <v>33995487.209999993</v>
      </c>
      <c r="K72" s="9">
        <f t="shared" si="39"/>
        <v>43739122.790000007</v>
      </c>
      <c r="L72" s="9" t="e">
        <f t="shared" si="39"/>
        <v>#REF!</v>
      </c>
      <c r="M72" s="9" t="e">
        <f t="shared" si="39"/>
        <v>#REF!</v>
      </c>
      <c r="N72" s="9" t="e">
        <f t="shared" si="39"/>
        <v>#REF!</v>
      </c>
      <c r="O72" s="11">
        <f>I72-J72-K72</f>
        <v>0</v>
      </c>
      <c r="P72" s="12">
        <f>J72/I72*100</f>
        <v>43.732755859970219</v>
      </c>
      <c r="Q72" s="331"/>
      <c r="R72" s="331"/>
    </row>
    <row r="73" spans="1:50" s="15" customFormat="1" ht="19.5" x14ac:dyDescent="0.25">
      <c r="A73" s="174" t="s">
        <v>13</v>
      </c>
      <c r="B73" s="13" t="s">
        <v>9</v>
      </c>
      <c r="C73" s="13" t="s">
        <v>12</v>
      </c>
      <c r="D73" s="13" t="s">
        <v>14</v>
      </c>
      <c r="E73" s="13"/>
      <c r="F73" s="13"/>
      <c r="G73" s="13"/>
      <c r="H73" s="13"/>
      <c r="I73" s="157">
        <f>I74+I91+I94+I100+I97</f>
        <v>77351534</v>
      </c>
      <c r="J73" s="157">
        <f>J74+J91+J94+J100+J97</f>
        <v>33779487.209999993</v>
      </c>
      <c r="K73" s="14">
        <f>K74+K91+K94+K100+K97</f>
        <v>43572046.790000007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7">
        <f t="shared" ref="I73:O76" si="40">O74</f>
        <v>0</v>
      </c>
      <c r="P73" s="48">
        <f>J73/I73*100</f>
        <v>43.67009348515311</v>
      </c>
      <c r="Q73" s="331"/>
      <c r="R73" s="331"/>
    </row>
    <row r="74" spans="1:50" s="19" customFormat="1" ht="37.5" x14ac:dyDescent="0.25">
      <c r="A74" s="40" t="s">
        <v>15</v>
      </c>
      <c r="B74" s="41" t="s">
        <v>9</v>
      </c>
      <c r="C74" s="41" t="s">
        <v>12</v>
      </c>
      <c r="D74" s="41" t="s">
        <v>14</v>
      </c>
      <c r="E74" s="41" t="s">
        <v>55</v>
      </c>
      <c r="F74" s="41"/>
      <c r="G74" s="41"/>
      <c r="H74" s="41"/>
      <c r="I74" s="17">
        <f>I75</f>
        <v>73536924.890000001</v>
      </c>
      <c r="J74" s="17">
        <f>J75</f>
        <v>32404255.899999995</v>
      </c>
      <c r="K74" s="17">
        <f t="shared" si="40"/>
        <v>41132668.99000001</v>
      </c>
      <c r="L74" s="17">
        <f t="shared" si="40"/>
        <v>0</v>
      </c>
      <c r="M74" s="17">
        <f t="shared" si="40"/>
        <v>0</v>
      </c>
      <c r="N74" s="17">
        <f t="shared" si="40"/>
        <v>0</v>
      </c>
      <c r="O74" s="17">
        <f t="shared" si="40"/>
        <v>0</v>
      </c>
      <c r="P74" s="21">
        <f t="shared" ref="P74:P102" si="41">J74/I74*100</f>
        <v>44.065285499049367</v>
      </c>
      <c r="Q74" s="346"/>
      <c r="R74" s="346"/>
    </row>
    <row r="75" spans="1:50" s="15" customFormat="1" ht="56.25" x14ac:dyDescent="0.25">
      <c r="A75" s="194" t="s">
        <v>17</v>
      </c>
      <c r="B75" s="27" t="s">
        <v>9</v>
      </c>
      <c r="C75" s="27" t="s">
        <v>12</v>
      </c>
      <c r="D75" s="27" t="s">
        <v>14</v>
      </c>
      <c r="E75" s="27" t="s">
        <v>55</v>
      </c>
      <c r="F75" s="27"/>
      <c r="G75" s="27"/>
      <c r="H75" s="27"/>
      <c r="I75" s="28">
        <f t="shared" si="40"/>
        <v>73536924.890000001</v>
      </c>
      <c r="J75" s="156">
        <f>J76</f>
        <v>32404255.899999995</v>
      </c>
      <c r="K75" s="44">
        <f t="shared" si="40"/>
        <v>41132668.99000001</v>
      </c>
      <c r="L75" s="24"/>
      <c r="M75" s="184"/>
      <c r="N75" s="185"/>
      <c r="O75" s="30">
        <f t="shared" ref="O75:O105" si="42">I75-J75-K75</f>
        <v>0</v>
      </c>
      <c r="P75" s="31">
        <f t="shared" si="41"/>
        <v>44.065285499049367</v>
      </c>
      <c r="Q75" s="331"/>
      <c r="R75" s="331"/>
      <c r="S75" s="1"/>
      <c r="T75" s="1"/>
      <c r="U75" s="1"/>
      <c r="V75" s="1"/>
      <c r="W75" s="1"/>
      <c r="X75" s="1"/>
      <c r="Y75" s="1"/>
    </row>
    <row r="76" spans="1:50" s="15" customFormat="1" ht="18.75" x14ac:dyDescent="0.25">
      <c r="A76" s="99" t="s">
        <v>19</v>
      </c>
      <c r="B76" s="22" t="s">
        <v>9</v>
      </c>
      <c r="C76" s="22" t="s">
        <v>12</v>
      </c>
      <c r="D76" s="22" t="s">
        <v>14</v>
      </c>
      <c r="E76" s="22" t="s">
        <v>55</v>
      </c>
      <c r="F76" s="22" t="s">
        <v>20</v>
      </c>
      <c r="G76" s="22"/>
      <c r="H76" s="22"/>
      <c r="I76" s="28">
        <f t="shared" si="40"/>
        <v>73536924.890000001</v>
      </c>
      <c r="J76" s="156">
        <f t="shared" si="40"/>
        <v>32404255.899999995</v>
      </c>
      <c r="K76" s="44">
        <f t="shared" si="40"/>
        <v>41132668.99000001</v>
      </c>
      <c r="L76" s="38"/>
      <c r="M76" s="184"/>
      <c r="N76" s="185"/>
      <c r="O76" s="30">
        <f t="shared" si="42"/>
        <v>0</v>
      </c>
      <c r="P76" s="31">
        <f t="shared" si="41"/>
        <v>44.065285499049367</v>
      </c>
      <c r="Q76" s="331"/>
      <c r="R76" s="331"/>
      <c r="S76" s="1"/>
      <c r="T76" s="1"/>
      <c r="U76" s="1"/>
      <c r="V76" s="1"/>
      <c r="W76" s="1"/>
      <c r="X76" s="1"/>
      <c r="Y76" s="1"/>
    </row>
    <row r="77" spans="1:50" s="2" customFormat="1" ht="56.25" x14ac:dyDescent="0.25">
      <c r="A77" s="99" t="s">
        <v>21</v>
      </c>
      <c r="B77" s="22" t="s">
        <v>9</v>
      </c>
      <c r="C77" s="22" t="s">
        <v>12</v>
      </c>
      <c r="D77" s="22" t="s">
        <v>14</v>
      </c>
      <c r="E77" s="22" t="s">
        <v>55</v>
      </c>
      <c r="F77" s="22" t="s">
        <v>22</v>
      </c>
      <c r="G77" s="22"/>
      <c r="H77" s="22"/>
      <c r="I77" s="28">
        <f t="shared" ref="I77:N77" si="43">I78+I88</f>
        <v>73536924.890000001</v>
      </c>
      <c r="J77" s="28">
        <f t="shared" si="43"/>
        <v>32404255.899999995</v>
      </c>
      <c r="K77" s="33">
        <f t="shared" si="43"/>
        <v>41132668.99000001</v>
      </c>
      <c r="L77" s="33" t="e">
        <f t="shared" si="43"/>
        <v>#REF!</v>
      </c>
      <c r="M77" s="33" t="e">
        <f t="shared" si="43"/>
        <v>#REF!</v>
      </c>
      <c r="N77" s="33" t="e">
        <f t="shared" si="43"/>
        <v>#REF!</v>
      </c>
      <c r="O77" s="30">
        <f t="shared" si="42"/>
        <v>0</v>
      </c>
      <c r="P77" s="31">
        <f t="shared" si="41"/>
        <v>44.065285499049367</v>
      </c>
      <c r="Q77" s="331"/>
      <c r="R77" s="33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8.75" x14ac:dyDescent="0.25">
      <c r="A78" s="99" t="s">
        <v>23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22</v>
      </c>
      <c r="G78" s="22" t="s">
        <v>24</v>
      </c>
      <c r="H78" s="22"/>
      <c r="I78" s="28">
        <f>I79+I86+I85+I83</f>
        <v>70313524.890000001</v>
      </c>
      <c r="J78" s="28">
        <f>J79+J86+J85+J83</f>
        <v>31585507.999999996</v>
      </c>
      <c r="K78" s="33">
        <f>K79+K86+K85+K83</f>
        <v>38728016.890000008</v>
      </c>
      <c r="L78" s="33" t="e">
        <f>L79+L86+#REF!</f>
        <v>#REF!</v>
      </c>
      <c r="M78" s="33" t="e">
        <f>M79+M86+#REF!</f>
        <v>#REF!</v>
      </c>
      <c r="N78" s="33" t="e">
        <f>N79+N86+#REF!</f>
        <v>#REF!</v>
      </c>
      <c r="O78" s="30">
        <f t="shared" si="42"/>
        <v>0</v>
      </c>
      <c r="P78" s="31">
        <f t="shared" si="41"/>
        <v>44.92095660033123</v>
      </c>
      <c r="Q78" s="331"/>
      <c r="R78" s="331"/>
    </row>
    <row r="79" spans="1:50" ht="18.75" x14ac:dyDescent="0.25">
      <c r="A79" s="99" t="s">
        <v>25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 t="s">
        <v>26</v>
      </c>
      <c r="H79" s="22"/>
      <c r="I79" s="28">
        <f>I80+I81+I82</f>
        <v>69377524.890000001</v>
      </c>
      <c r="J79" s="28">
        <f t="shared" ref="J79:K79" si="44">J80+J81+J82</f>
        <v>31233345.469999999</v>
      </c>
      <c r="K79" s="33">
        <f t="shared" si="44"/>
        <v>38144179.420000002</v>
      </c>
      <c r="L79" s="33" t="e">
        <f>L80+#REF!+L81</f>
        <v>#REF!</v>
      </c>
      <c r="M79" s="33" t="e">
        <f>M80+#REF!+M81</f>
        <v>#REF!</v>
      </c>
      <c r="N79" s="33" t="e">
        <f>N80+#REF!+N81</f>
        <v>#REF!</v>
      </c>
      <c r="O79" s="30">
        <f t="shared" si="42"/>
        <v>0</v>
      </c>
      <c r="P79" s="31">
        <f t="shared" si="41"/>
        <v>45.019400042767941</v>
      </c>
      <c r="Q79" s="331"/>
      <c r="R79" s="331"/>
    </row>
    <row r="80" spans="1:50" ht="18.75" x14ac:dyDescent="0.25">
      <c r="A80" s="99" t="s">
        <v>27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28</v>
      </c>
      <c r="H80" s="22"/>
      <c r="I80" s="23">
        <v>53227407.75</v>
      </c>
      <c r="J80" s="23">
        <v>25776151.23</v>
      </c>
      <c r="K80" s="23">
        <f>I80-J80</f>
        <v>27451256.52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5">
        <f t="shared" si="42"/>
        <v>0</v>
      </c>
      <c r="P80" s="26">
        <f t="shared" si="41"/>
        <v>48.426463582570392</v>
      </c>
      <c r="Q80" s="331"/>
      <c r="R80" s="331"/>
    </row>
    <row r="81" spans="1:50" ht="18.75" x14ac:dyDescent="0.25">
      <c r="A81" s="175" t="s">
        <v>29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30</v>
      </c>
      <c r="H81" s="22"/>
      <c r="I81" s="23">
        <v>9000</v>
      </c>
      <c r="J81" s="23">
        <v>1400</v>
      </c>
      <c r="K81" s="23">
        <f t="shared" ref="K81" si="45">I81-J81</f>
        <v>7600</v>
      </c>
      <c r="L81" s="23" t="e">
        <f>#REF!+#REF!</f>
        <v>#REF!</v>
      </c>
      <c r="M81" s="23" t="e">
        <f>#REF!+#REF!</f>
        <v>#REF!</v>
      </c>
      <c r="N81" s="23" t="e">
        <f>#REF!+#REF!</f>
        <v>#REF!</v>
      </c>
      <c r="O81" s="25">
        <f t="shared" si="42"/>
        <v>0</v>
      </c>
      <c r="P81" s="26">
        <f t="shared" si="41"/>
        <v>15.555555555555555</v>
      </c>
      <c r="Q81" s="331"/>
      <c r="R81" s="331"/>
    </row>
    <row r="82" spans="1:50" ht="21.75" customHeight="1" x14ac:dyDescent="0.25">
      <c r="A82" s="175" t="s">
        <v>31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32</v>
      </c>
      <c r="H82" s="22"/>
      <c r="I82" s="23">
        <v>16141117.140000001</v>
      </c>
      <c r="J82" s="34">
        <v>5455794.2400000002</v>
      </c>
      <c r="K82" s="23">
        <f>I82-J82</f>
        <v>10685322.9</v>
      </c>
      <c r="L82" s="24" t="e">
        <f>#REF!</f>
        <v>#REF!</v>
      </c>
      <c r="M82" s="182"/>
      <c r="N82" s="183"/>
      <c r="O82" s="25">
        <f t="shared" si="42"/>
        <v>0</v>
      </c>
      <c r="P82" s="26">
        <f t="shared" si="41"/>
        <v>33.80059876078689</v>
      </c>
      <c r="Q82" s="343"/>
      <c r="R82" s="343"/>
    </row>
    <row r="83" spans="1:50" ht="21.75" customHeight="1" x14ac:dyDescent="0.25">
      <c r="A83" s="179" t="s">
        <v>33</v>
      </c>
      <c r="B83" s="27" t="s">
        <v>9</v>
      </c>
      <c r="C83" s="27" t="s">
        <v>12</v>
      </c>
      <c r="D83" s="27" t="s">
        <v>14</v>
      </c>
      <c r="E83" s="27" t="s">
        <v>55</v>
      </c>
      <c r="F83" s="27" t="s">
        <v>22</v>
      </c>
      <c r="G83" s="27" t="s">
        <v>34</v>
      </c>
      <c r="H83" s="22"/>
      <c r="I83" s="33">
        <f>I84</f>
        <v>186000</v>
      </c>
      <c r="J83" s="44">
        <f>J84</f>
        <v>51783.4</v>
      </c>
      <c r="K83" s="33">
        <f t="shared" ref="K83:K84" si="46">I83-J83</f>
        <v>134216.6</v>
      </c>
      <c r="L83" s="92"/>
      <c r="M83" s="184"/>
      <c r="N83" s="185"/>
      <c r="O83" s="30">
        <f t="shared" si="42"/>
        <v>0</v>
      </c>
      <c r="P83" s="31">
        <f t="shared" si="41"/>
        <v>27.840537634408602</v>
      </c>
      <c r="Q83" s="344"/>
      <c r="R83" s="345"/>
    </row>
    <row r="84" spans="1:50" ht="24" customHeight="1" x14ac:dyDescent="0.25">
      <c r="A84" s="99" t="s">
        <v>43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44</v>
      </c>
      <c r="H84" s="22"/>
      <c r="I84" s="23">
        <v>186000</v>
      </c>
      <c r="J84" s="34">
        <v>51783.4</v>
      </c>
      <c r="K84" s="23">
        <f t="shared" si="46"/>
        <v>134216.6</v>
      </c>
      <c r="L84" s="24"/>
      <c r="M84" s="182"/>
      <c r="N84" s="183"/>
      <c r="O84" s="25">
        <f t="shared" si="42"/>
        <v>0</v>
      </c>
      <c r="P84" s="26">
        <f t="shared" si="41"/>
        <v>27.840537634408602</v>
      </c>
      <c r="Q84" s="344"/>
      <c r="R84" s="345"/>
    </row>
    <row r="85" spans="1:50" ht="42" customHeight="1" x14ac:dyDescent="0.25">
      <c r="A85" s="179" t="s">
        <v>93</v>
      </c>
      <c r="B85" s="27" t="s">
        <v>9</v>
      </c>
      <c r="C85" s="27" t="s">
        <v>12</v>
      </c>
      <c r="D85" s="27" t="s">
        <v>14</v>
      </c>
      <c r="E85" s="27" t="s">
        <v>55</v>
      </c>
      <c r="F85" s="27" t="s">
        <v>22</v>
      </c>
      <c r="G85" s="27" t="s">
        <v>94</v>
      </c>
      <c r="H85" s="27"/>
      <c r="I85" s="33">
        <v>220000</v>
      </c>
      <c r="J85" s="44">
        <v>207131.58</v>
      </c>
      <c r="K85" s="28">
        <f>I85-J85</f>
        <v>12868.420000000013</v>
      </c>
      <c r="L85" s="94">
        <v>802458</v>
      </c>
      <c r="M85" s="184">
        <f>L85</f>
        <v>802458</v>
      </c>
      <c r="N85" s="185"/>
      <c r="O85" s="30">
        <f>I85-J85-K85</f>
        <v>0</v>
      </c>
      <c r="P85" s="31">
        <v>0</v>
      </c>
      <c r="Q85" s="344"/>
      <c r="R85" s="345"/>
    </row>
    <row r="86" spans="1:50" ht="18.75" x14ac:dyDescent="0.25">
      <c r="A86" s="179" t="s">
        <v>33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34</v>
      </c>
      <c r="H86" s="27"/>
      <c r="I86" s="33">
        <f>I87</f>
        <v>530000</v>
      </c>
      <c r="J86" s="33">
        <f t="shared" ref="J86:P86" si="47">J87</f>
        <v>93247.55</v>
      </c>
      <c r="K86" s="28">
        <f t="shared" si="47"/>
        <v>436752.45</v>
      </c>
      <c r="L86" s="28" t="e">
        <f t="shared" si="47"/>
        <v>#REF!</v>
      </c>
      <c r="M86" s="28" t="e">
        <f t="shared" si="47"/>
        <v>#REF!</v>
      </c>
      <c r="N86" s="28" t="e">
        <f t="shared" si="47"/>
        <v>#REF!</v>
      </c>
      <c r="O86" s="28">
        <f t="shared" si="47"/>
        <v>0</v>
      </c>
      <c r="P86" s="28">
        <f t="shared" si="47"/>
        <v>17.593877358490566</v>
      </c>
      <c r="Q86" s="331"/>
      <c r="R86" s="331"/>
    </row>
    <row r="87" spans="1:50" ht="18.75" x14ac:dyDescent="0.25">
      <c r="A87" s="99" t="s">
        <v>43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44</v>
      </c>
      <c r="H87" s="22"/>
      <c r="I87" s="23">
        <v>530000</v>
      </c>
      <c r="J87" s="23">
        <f>47892.55+45355</f>
        <v>93247.55</v>
      </c>
      <c r="K87" s="35">
        <f>I87-J87</f>
        <v>436752.45</v>
      </c>
      <c r="L87" s="35" t="e">
        <f>L85+#REF!+#REF!</f>
        <v>#REF!</v>
      </c>
      <c r="M87" s="35" t="e">
        <f>M85+#REF!+#REF!</f>
        <v>#REF!</v>
      </c>
      <c r="N87" s="35" t="e">
        <f>N85+#REF!+#REF!</f>
        <v>#REF!</v>
      </c>
      <c r="O87" s="153">
        <f t="shared" si="42"/>
        <v>0</v>
      </c>
      <c r="P87" s="154">
        <f t="shared" si="41"/>
        <v>17.593877358490566</v>
      </c>
      <c r="Q87" s="331"/>
      <c r="R87" s="331"/>
    </row>
    <row r="88" spans="1:50" s="2" customFormat="1" ht="18.75" x14ac:dyDescent="0.25">
      <c r="A88" s="194" t="s">
        <v>45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46</v>
      </c>
      <c r="H88" s="27"/>
      <c r="I88" s="33">
        <f>I89+I90</f>
        <v>3223400</v>
      </c>
      <c r="J88" s="33">
        <f t="shared" ref="J88:N88" si="48">J89+J90</f>
        <v>818747.9</v>
      </c>
      <c r="K88" s="28">
        <f t="shared" si="48"/>
        <v>2404652.1</v>
      </c>
      <c r="L88" s="28" t="e">
        <f t="shared" si="48"/>
        <v>#REF!</v>
      </c>
      <c r="M88" s="28">
        <f t="shared" si="48"/>
        <v>0</v>
      </c>
      <c r="N88" s="28">
        <f t="shared" si="48"/>
        <v>0</v>
      </c>
      <c r="O88" s="88">
        <f t="shared" si="42"/>
        <v>0</v>
      </c>
      <c r="P88" s="155">
        <f t="shared" si="41"/>
        <v>25.40013339951604</v>
      </c>
      <c r="Q88" s="341"/>
      <c r="R88" s="341"/>
      <c r="S88" s="15"/>
      <c r="T88" s="15"/>
      <c r="U88" s="15"/>
      <c r="V88" s="15"/>
      <c r="W88" s="15"/>
      <c r="X88" s="15"/>
      <c r="Y88" s="1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8.75" x14ac:dyDescent="0.25">
      <c r="A89" s="99" t="s">
        <v>47</v>
      </c>
      <c r="B89" s="22" t="s">
        <v>9</v>
      </c>
      <c r="C89" s="22" t="s">
        <v>12</v>
      </c>
      <c r="D89" s="22" t="s">
        <v>14</v>
      </c>
      <c r="E89" s="22" t="s">
        <v>55</v>
      </c>
      <c r="F89" s="22" t="s">
        <v>22</v>
      </c>
      <c r="G89" s="22" t="s">
        <v>48</v>
      </c>
      <c r="H89" s="22"/>
      <c r="I89" s="23">
        <v>2693400</v>
      </c>
      <c r="J89" s="23">
        <v>817907.9</v>
      </c>
      <c r="K89" s="35">
        <f t="shared" ref="K89:K90" si="49">I89-J89</f>
        <v>1875492.1</v>
      </c>
      <c r="L89" s="50" t="e">
        <f>L90+#REF!+#REF!+#REF!+#REF!</f>
        <v>#REF!</v>
      </c>
      <c r="M89" s="176"/>
      <c r="N89" s="177"/>
      <c r="O89" s="153">
        <f t="shared" si="42"/>
        <v>0</v>
      </c>
      <c r="P89" s="154">
        <f t="shared" si="41"/>
        <v>30.367115912972451</v>
      </c>
      <c r="Q89" s="341"/>
      <c r="R89" s="341"/>
    </row>
    <row r="90" spans="1:50" ht="37.5" x14ac:dyDescent="0.25">
      <c r="A90" s="175" t="s">
        <v>109</v>
      </c>
      <c r="B90" s="22" t="s">
        <v>9</v>
      </c>
      <c r="C90" s="22" t="s">
        <v>12</v>
      </c>
      <c r="D90" s="22" t="s">
        <v>14</v>
      </c>
      <c r="E90" s="22" t="s">
        <v>55</v>
      </c>
      <c r="F90" s="22" t="s">
        <v>22</v>
      </c>
      <c r="G90" s="22" t="s">
        <v>104</v>
      </c>
      <c r="H90" s="22"/>
      <c r="I90" s="23">
        <v>530000</v>
      </c>
      <c r="J90" s="34">
        <v>840</v>
      </c>
      <c r="K90" s="35">
        <f t="shared" si="49"/>
        <v>529160</v>
      </c>
      <c r="L90" s="50" t="e">
        <f>#REF!</f>
        <v>#REF!</v>
      </c>
      <c r="M90" s="176"/>
      <c r="N90" s="177"/>
      <c r="O90" s="153">
        <f t="shared" si="42"/>
        <v>0</v>
      </c>
      <c r="P90" s="154">
        <f t="shared" si="41"/>
        <v>0.15849056603773584</v>
      </c>
      <c r="Q90" s="342"/>
      <c r="R90" s="342"/>
    </row>
    <row r="91" spans="1:50" s="2" customFormat="1" ht="118.5" customHeight="1" x14ac:dyDescent="0.25">
      <c r="A91" s="86" t="s">
        <v>130</v>
      </c>
      <c r="B91" s="41" t="s">
        <v>9</v>
      </c>
      <c r="C91" s="41" t="s">
        <v>12</v>
      </c>
      <c r="D91" s="41" t="s">
        <v>14</v>
      </c>
      <c r="E91" s="41" t="s">
        <v>57</v>
      </c>
      <c r="F91" s="41" t="s">
        <v>22</v>
      </c>
      <c r="G91" s="16"/>
      <c r="H91" s="16"/>
      <c r="I91" s="17">
        <f>I92+I93</f>
        <v>254011.41</v>
      </c>
      <c r="J91" s="17">
        <f t="shared" ref="J91:K91" si="50">J92+J93</f>
        <v>136816.85999999999</v>
      </c>
      <c r="K91" s="17">
        <f t="shared" si="50"/>
        <v>117194.55000000002</v>
      </c>
      <c r="L91" s="42"/>
      <c r="M91" s="186"/>
      <c r="N91" s="187"/>
      <c r="O91" s="20">
        <f t="shared" si="42"/>
        <v>0</v>
      </c>
      <c r="P91" s="21">
        <f t="shared" si="41"/>
        <v>53.862485941084294</v>
      </c>
      <c r="Q91" s="331"/>
      <c r="R91" s="33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s="2" customFormat="1" ht="18.75" x14ac:dyDescent="0.25">
      <c r="A92" s="175" t="s">
        <v>27</v>
      </c>
      <c r="B92" s="43" t="s">
        <v>9</v>
      </c>
      <c r="C92" s="43" t="s">
        <v>12</v>
      </c>
      <c r="D92" s="43" t="s">
        <v>14</v>
      </c>
      <c r="E92" s="43" t="s">
        <v>57</v>
      </c>
      <c r="F92" s="43" t="s">
        <v>22</v>
      </c>
      <c r="G92" s="43" t="s">
        <v>28</v>
      </c>
      <c r="H92" s="43"/>
      <c r="I92" s="23">
        <v>195093.25</v>
      </c>
      <c r="J92" s="34">
        <v>120356.68</v>
      </c>
      <c r="K92" s="35">
        <f t="shared" ref="K92:K93" si="51">I92-J92</f>
        <v>74736.570000000007</v>
      </c>
      <c r="L92" s="93"/>
      <c r="M92" s="188"/>
      <c r="N92" s="189"/>
      <c r="O92" s="25">
        <f t="shared" si="42"/>
        <v>0</v>
      </c>
      <c r="P92" s="26">
        <f t="shared" si="41"/>
        <v>61.691872988942464</v>
      </c>
      <c r="Q92" s="331"/>
      <c r="R92" s="33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15" customFormat="1" ht="18.75" x14ac:dyDescent="0.25">
      <c r="A93" s="99" t="s">
        <v>31</v>
      </c>
      <c r="B93" s="43" t="s">
        <v>9</v>
      </c>
      <c r="C93" s="43" t="s">
        <v>12</v>
      </c>
      <c r="D93" s="43" t="s">
        <v>14</v>
      </c>
      <c r="E93" s="43" t="s">
        <v>57</v>
      </c>
      <c r="F93" s="43" t="s">
        <v>22</v>
      </c>
      <c r="G93" s="103">
        <v>213</v>
      </c>
      <c r="H93" s="22"/>
      <c r="I93" s="23">
        <v>58918.16</v>
      </c>
      <c r="J93" s="34">
        <v>16460.18</v>
      </c>
      <c r="K93" s="35">
        <f t="shared" si="51"/>
        <v>42457.98</v>
      </c>
      <c r="L93" s="93"/>
      <c r="M93" s="188"/>
      <c r="N93" s="189"/>
      <c r="O93" s="25">
        <f t="shared" si="42"/>
        <v>0</v>
      </c>
      <c r="P93" s="26">
        <f t="shared" si="41"/>
        <v>27.937362606028426</v>
      </c>
      <c r="Q93" s="331"/>
      <c r="R93" s="331"/>
    </row>
    <row r="94" spans="1:50" s="15" customFormat="1" ht="118.5" customHeight="1" x14ac:dyDescent="0.25">
      <c r="A94" s="86" t="s">
        <v>131</v>
      </c>
      <c r="B94" s="41" t="s">
        <v>9</v>
      </c>
      <c r="C94" s="41" t="s">
        <v>12</v>
      </c>
      <c r="D94" s="41" t="s">
        <v>14</v>
      </c>
      <c r="E94" s="41" t="s">
        <v>57</v>
      </c>
      <c r="F94" s="41" t="s">
        <v>22</v>
      </c>
      <c r="G94" s="16"/>
      <c r="H94" s="16"/>
      <c r="I94" s="17">
        <f>I95+I96</f>
        <v>1678661.9200000002</v>
      </c>
      <c r="J94" s="17">
        <f t="shared" ref="J94:K94" si="52">J95+J96</f>
        <v>559914.15</v>
      </c>
      <c r="K94" s="17">
        <f t="shared" si="52"/>
        <v>1118747.77</v>
      </c>
      <c r="L94" s="42"/>
      <c r="M94" s="186"/>
      <c r="N94" s="187"/>
      <c r="O94" s="20">
        <f t="shared" si="42"/>
        <v>0</v>
      </c>
      <c r="P94" s="21">
        <f t="shared" si="41"/>
        <v>33.354789509968747</v>
      </c>
      <c r="Q94" s="338"/>
      <c r="R94" s="339"/>
    </row>
    <row r="95" spans="1:50" s="15" customFormat="1" ht="18.75" x14ac:dyDescent="0.25">
      <c r="A95" s="175" t="s">
        <v>27</v>
      </c>
      <c r="B95" s="43" t="s">
        <v>9</v>
      </c>
      <c r="C95" s="43" t="s">
        <v>12</v>
      </c>
      <c r="D95" s="43" t="s">
        <v>14</v>
      </c>
      <c r="E95" s="43" t="s">
        <v>57</v>
      </c>
      <c r="F95" s="43" t="s">
        <v>22</v>
      </c>
      <c r="G95" s="43" t="s">
        <v>28</v>
      </c>
      <c r="H95" s="43"/>
      <c r="I95" s="23">
        <v>1289294.8700000001</v>
      </c>
      <c r="J95" s="34">
        <v>430041.59</v>
      </c>
      <c r="K95" s="35">
        <f t="shared" ref="K95:K96" si="53">I95-J95</f>
        <v>859253.28</v>
      </c>
      <c r="L95" s="93"/>
      <c r="M95" s="188"/>
      <c r="N95" s="189"/>
      <c r="O95" s="25">
        <f t="shared" si="42"/>
        <v>0</v>
      </c>
      <c r="P95" s="26">
        <f t="shared" si="41"/>
        <v>33.354789505987874</v>
      </c>
      <c r="Q95" s="338"/>
      <c r="R95" s="339"/>
    </row>
    <row r="96" spans="1:50" s="15" customFormat="1" ht="18.75" x14ac:dyDescent="0.25">
      <c r="A96" s="99" t="s">
        <v>31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103">
        <v>213</v>
      </c>
      <c r="H96" s="22"/>
      <c r="I96" s="23">
        <v>389367.05</v>
      </c>
      <c r="J96" s="34">
        <v>129872.56</v>
      </c>
      <c r="K96" s="35">
        <f t="shared" si="53"/>
        <v>259494.49</v>
      </c>
      <c r="L96" s="93"/>
      <c r="M96" s="188"/>
      <c r="N96" s="189"/>
      <c r="O96" s="25">
        <f t="shared" si="42"/>
        <v>0</v>
      </c>
      <c r="P96" s="26">
        <f t="shared" si="41"/>
        <v>33.354789523150458</v>
      </c>
      <c r="Q96" s="338"/>
      <c r="R96" s="339"/>
    </row>
    <row r="97" spans="1:50" s="15" customFormat="1" ht="118.5" hidden="1" customHeight="1" x14ac:dyDescent="0.25">
      <c r="A97" s="86" t="s">
        <v>131</v>
      </c>
      <c r="B97" s="41" t="s">
        <v>9</v>
      </c>
      <c r="C97" s="41" t="s">
        <v>12</v>
      </c>
      <c r="D97" s="41" t="s">
        <v>14</v>
      </c>
      <c r="E97" s="41" t="s">
        <v>152</v>
      </c>
      <c r="F97" s="41" t="s">
        <v>22</v>
      </c>
      <c r="G97" s="16"/>
      <c r="H97" s="16"/>
      <c r="I97" s="17">
        <f>I98+I99</f>
        <v>0</v>
      </c>
      <c r="J97" s="17">
        <f t="shared" ref="J97:K97" si="54">J98+J99</f>
        <v>0</v>
      </c>
      <c r="K97" s="17">
        <f t="shared" si="54"/>
        <v>0</v>
      </c>
      <c r="L97" s="42"/>
      <c r="M97" s="186"/>
      <c r="N97" s="187"/>
      <c r="O97" s="20">
        <f t="shared" si="42"/>
        <v>0</v>
      </c>
      <c r="P97" s="21" t="e">
        <f t="shared" si="41"/>
        <v>#DIV/0!</v>
      </c>
      <c r="Q97" s="338"/>
      <c r="R97" s="339"/>
    </row>
    <row r="98" spans="1:50" s="15" customFormat="1" ht="18.75" hidden="1" x14ac:dyDescent="0.25">
      <c r="A98" s="175" t="s">
        <v>27</v>
      </c>
      <c r="B98" s="43" t="s">
        <v>9</v>
      </c>
      <c r="C98" s="43" t="s">
        <v>12</v>
      </c>
      <c r="D98" s="43" t="s">
        <v>14</v>
      </c>
      <c r="E98" s="43" t="s">
        <v>152</v>
      </c>
      <c r="F98" s="43" t="s">
        <v>22</v>
      </c>
      <c r="G98" s="43" t="s">
        <v>28</v>
      </c>
      <c r="H98" s="43"/>
      <c r="I98" s="121">
        <v>0</v>
      </c>
      <c r="J98" s="122">
        <v>0</v>
      </c>
      <c r="K98" s="35">
        <f>I98-J98</f>
        <v>0</v>
      </c>
      <c r="L98" s="93"/>
      <c r="M98" s="188"/>
      <c r="N98" s="189"/>
      <c r="O98" s="25">
        <f>I98-J98-K98</f>
        <v>0</v>
      </c>
      <c r="P98" s="26" t="e">
        <f t="shared" si="41"/>
        <v>#DIV/0!</v>
      </c>
      <c r="Q98" s="338"/>
      <c r="R98" s="339"/>
    </row>
    <row r="99" spans="1:50" s="15" customFormat="1" ht="18.75" hidden="1" x14ac:dyDescent="0.25">
      <c r="A99" s="99" t="s">
        <v>31</v>
      </c>
      <c r="B99" s="43" t="s">
        <v>9</v>
      </c>
      <c r="C99" s="43" t="s">
        <v>12</v>
      </c>
      <c r="D99" s="43" t="s">
        <v>14</v>
      </c>
      <c r="E99" s="43" t="s">
        <v>152</v>
      </c>
      <c r="F99" s="43" t="s">
        <v>22</v>
      </c>
      <c r="G99" s="103">
        <v>213</v>
      </c>
      <c r="H99" s="22"/>
      <c r="I99" s="121">
        <v>0</v>
      </c>
      <c r="J99" s="122">
        <v>0</v>
      </c>
      <c r="K99" s="35">
        <f t="shared" ref="K99" si="55">I99-J99</f>
        <v>0</v>
      </c>
      <c r="L99" s="93"/>
      <c r="M99" s="188"/>
      <c r="N99" s="189"/>
      <c r="O99" s="25">
        <f t="shared" si="42"/>
        <v>0</v>
      </c>
      <c r="P99" s="26" t="e">
        <f t="shared" si="41"/>
        <v>#DIV/0!</v>
      </c>
      <c r="Q99" s="338"/>
      <c r="R99" s="339"/>
    </row>
    <row r="100" spans="1:50" s="2" customFormat="1" ht="62.25" customHeight="1" x14ac:dyDescent="0.25">
      <c r="A100" s="190" t="s">
        <v>58</v>
      </c>
      <c r="B100" s="41" t="s">
        <v>9</v>
      </c>
      <c r="C100" s="41" t="s">
        <v>12</v>
      </c>
      <c r="D100" s="41" t="s">
        <v>14</v>
      </c>
      <c r="E100" s="41" t="s">
        <v>59</v>
      </c>
      <c r="F100" s="41" t="s">
        <v>22</v>
      </c>
      <c r="G100" s="41"/>
      <c r="H100" s="41"/>
      <c r="I100" s="17">
        <f>I102+I101</f>
        <v>1881935.78</v>
      </c>
      <c r="J100" s="17">
        <f>J102+J101</f>
        <v>678500.29999999993</v>
      </c>
      <c r="K100" s="17">
        <f>K102+K101</f>
        <v>1203435.48</v>
      </c>
      <c r="L100" s="18"/>
      <c r="M100" s="195"/>
      <c r="N100" s="196"/>
      <c r="O100" s="20">
        <f t="shared" si="42"/>
        <v>0</v>
      </c>
      <c r="P100" s="21">
        <f t="shared" si="41"/>
        <v>36.053318461270763</v>
      </c>
      <c r="Q100" s="331"/>
      <c r="R100" s="33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28.5" customHeight="1" x14ac:dyDescent="0.25">
      <c r="A101" s="175" t="s">
        <v>167</v>
      </c>
      <c r="B101" s="22" t="s">
        <v>9</v>
      </c>
      <c r="C101" s="22" t="s">
        <v>12</v>
      </c>
      <c r="D101" s="22" t="s">
        <v>14</v>
      </c>
      <c r="E101" s="22" t="s">
        <v>59</v>
      </c>
      <c r="F101" s="22" t="s">
        <v>22</v>
      </c>
      <c r="G101" s="22" t="s">
        <v>146</v>
      </c>
      <c r="H101" s="22"/>
      <c r="I101" s="23">
        <v>249335.78</v>
      </c>
      <c r="J101" s="34">
        <v>73668.479999999996</v>
      </c>
      <c r="K101" s="34">
        <f>I101-J101</f>
        <v>175667.3</v>
      </c>
      <c r="L101" s="24"/>
      <c r="M101" s="182"/>
      <c r="N101" s="183"/>
      <c r="O101" s="25"/>
      <c r="P101" s="26"/>
      <c r="Q101" s="331"/>
      <c r="R101" s="331"/>
    </row>
    <row r="102" spans="1:50" ht="18.75" x14ac:dyDescent="0.25">
      <c r="A102" s="99" t="s">
        <v>113</v>
      </c>
      <c r="B102" s="22" t="s">
        <v>9</v>
      </c>
      <c r="C102" s="22" t="s">
        <v>12</v>
      </c>
      <c r="D102" s="22" t="s">
        <v>14</v>
      </c>
      <c r="E102" s="22" t="s">
        <v>59</v>
      </c>
      <c r="F102" s="22" t="s">
        <v>22</v>
      </c>
      <c r="G102" s="22" t="s">
        <v>114</v>
      </c>
      <c r="H102" s="22"/>
      <c r="I102" s="23">
        <v>1632600</v>
      </c>
      <c r="J102" s="34">
        <v>604831.81999999995</v>
      </c>
      <c r="K102" s="34">
        <f>I102-J102</f>
        <v>1027768.18</v>
      </c>
      <c r="L102" s="93" t="e">
        <f>#REF!</f>
        <v>#REF!</v>
      </c>
      <c r="M102" s="188"/>
      <c r="N102" s="189"/>
      <c r="O102" s="25">
        <f t="shared" si="42"/>
        <v>0</v>
      </c>
      <c r="P102" s="26">
        <f t="shared" si="41"/>
        <v>37.047153007472737</v>
      </c>
      <c r="Q102" s="331"/>
      <c r="R102" s="331"/>
    </row>
    <row r="103" spans="1:50" s="15" customFormat="1" ht="117.75" customHeight="1" x14ac:dyDescent="0.25">
      <c r="A103" s="190" t="s">
        <v>73</v>
      </c>
      <c r="B103" s="41" t="s">
        <v>9</v>
      </c>
      <c r="C103" s="41" t="s">
        <v>12</v>
      </c>
      <c r="D103" s="41" t="s">
        <v>12</v>
      </c>
      <c r="E103" s="41" t="s">
        <v>74</v>
      </c>
      <c r="F103" s="41"/>
      <c r="G103" s="41"/>
      <c r="H103" s="41"/>
      <c r="I103" s="17">
        <f>I105+I104</f>
        <v>383076</v>
      </c>
      <c r="J103" s="17">
        <f t="shared" ref="J103:K103" si="56">J105+J104</f>
        <v>216000</v>
      </c>
      <c r="K103" s="17">
        <f t="shared" si="56"/>
        <v>167076</v>
      </c>
      <c r="L103" s="18" t="e">
        <f>L105</f>
        <v>#REF!</v>
      </c>
      <c r="M103" s="186"/>
      <c r="N103" s="187"/>
      <c r="O103" s="20">
        <f>I103-J103-K103</f>
        <v>0</v>
      </c>
      <c r="P103" s="21">
        <f>J103/I103*100</f>
        <v>56.385678037778405</v>
      </c>
      <c r="Q103" s="331"/>
      <c r="R103" s="331"/>
      <c r="Z103" s="1"/>
      <c r="AA103" s="1"/>
      <c r="AB103" s="1"/>
      <c r="AC103" s="1"/>
      <c r="AD103" s="1"/>
    </row>
    <row r="104" spans="1:50" s="15" customFormat="1" ht="18.75" x14ac:dyDescent="0.25">
      <c r="A104" s="99" t="s">
        <v>43</v>
      </c>
      <c r="B104" s="22" t="s">
        <v>9</v>
      </c>
      <c r="C104" s="22" t="s">
        <v>12</v>
      </c>
      <c r="D104" s="22" t="s">
        <v>12</v>
      </c>
      <c r="E104" s="22" t="s">
        <v>74</v>
      </c>
      <c r="F104" s="22" t="s">
        <v>22</v>
      </c>
      <c r="G104" s="22" t="s">
        <v>44</v>
      </c>
      <c r="H104" s="27"/>
      <c r="I104" s="23">
        <v>216000</v>
      </c>
      <c r="J104" s="34">
        <v>216000</v>
      </c>
      <c r="K104" s="34">
        <f>I104-J104</f>
        <v>0</v>
      </c>
      <c r="L104" s="24"/>
      <c r="M104" s="182"/>
      <c r="N104" s="183"/>
      <c r="O104" s="30">
        <f t="shared" si="42"/>
        <v>0</v>
      </c>
      <c r="P104" s="31">
        <f>J104/I104*100</f>
        <v>100</v>
      </c>
      <c r="Q104" s="338"/>
      <c r="R104" s="339"/>
      <c r="Z104" s="1"/>
      <c r="AA104" s="1"/>
      <c r="AB104" s="1"/>
      <c r="AC104" s="1"/>
      <c r="AD104" s="1"/>
    </row>
    <row r="105" spans="1:50" ht="18.75" x14ac:dyDescent="0.25">
      <c r="A105" s="99" t="s">
        <v>113</v>
      </c>
      <c r="B105" s="22" t="s">
        <v>9</v>
      </c>
      <c r="C105" s="22" t="s">
        <v>12</v>
      </c>
      <c r="D105" s="22" t="s">
        <v>12</v>
      </c>
      <c r="E105" s="22" t="s">
        <v>74</v>
      </c>
      <c r="F105" s="22" t="s">
        <v>22</v>
      </c>
      <c r="G105" s="22" t="s">
        <v>114</v>
      </c>
      <c r="H105" s="22"/>
      <c r="I105" s="23">
        <v>167076</v>
      </c>
      <c r="J105" s="34">
        <v>0</v>
      </c>
      <c r="K105" s="34">
        <f>I105-J105</f>
        <v>167076</v>
      </c>
      <c r="L105" s="24" t="e">
        <f>#REF!</f>
        <v>#REF!</v>
      </c>
      <c r="M105" s="182"/>
      <c r="N105" s="183"/>
      <c r="O105" s="25">
        <f t="shared" si="42"/>
        <v>0</v>
      </c>
      <c r="P105" s="26">
        <f>J105/I105*100</f>
        <v>0</v>
      </c>
      <c r="Q105" s="331"/>
      <c r="R105" s="331"/>
    </row>
    <row r="106" spans="1:50" s="2" customFormat="1" ht="19.5" customHeight="1" x14ac:dyDescent="0.3">
      <c r="A106" s="333" t="s">
        <v>60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5"/>
      <c r="Q106" s="340"/>
      <c r="R106" s="340"/>
    </row>
    <row r="107" spans="1:50" ht="78" x14ac:dyDescent="0.25">
      <c r="A107" s="51" t="s">
        <v>8</v>
      </c>
      <c r="B107" s="52" t="s">
        <v>9</v>
      </c>
      <c r="C107" s="52"/>
      <c r="D107" s="52"/>
      <c r="E107" s="52"/>
      <c r="F107" s="52"/>
      <c r="G107" s="52"/>
      <c r="H107" s="52"/>
      <c r="I107" s="53">
        <f>I108+I122+I129+I134+I132+I139+I143+I146+I141</f>
        <v>781959.98</v>
      </c>
      <c r="J107" s="53">
        <f>J108+J122+J129+J134+J132+J146+J139+J143+J141</f>
        <v>241386.11</v>
      </c>
      <c r="K107" s="53">
        <f>K108+K122+K129+K134+K132+K139+K143+K146+K141</f>
        <v>540573.87</v>
      </c>
      <c r="L107" s="53" t="e">
        <f t="shared" ref="L107:N107" si="57">L108+L122</f>
        <v>#REF!</v>
      </c>
      <c r="M107" s="53" t="e">
        <f t="shared" si="57"/>
        <v>#REF!</v>
      </c>
      <c r="N107" s="53" t="e">
        <f t="shared" si="57"/>
        <v>#REF!</v>
      </c>
      <c r="O107" s="53">
        <f>I107-J107-K107</f>
        <v>0</v>
      </c>
      <c r="P107" s="54">
        <f t="shared" ref="P107:P122" si="58">J107/I107*100</f>
        <v>30.869368787901397</v>
      </c>
      <c r="Q107" s="331"/>
      <c r="R107" s="331"/>
    </row>
    <row r="108" spans="1:50" ht="19.5" x14ac:dyDescent="0.25">
      <c r="A108" s="173" t="s">
        <v>11</v>
      </c>
      <c r="B108" s="8" t="s">
        <v>9</v>
      </c>
      <c r="C108" s="8" t="s">
        <v>12</v>
      </c>
      <c r="D108" s="8"/>
      <c r="E108" s="8"/>
      <c r="F108" s="8"/>
      <c r="G108" s="8"/>
      <c r="H108" s="8"/>
      <c r="I108" s="9">
        <f>I109+I113+I116+I119+I111+I148</f>
        <v>537217.12</v>
      </c>
      <c r="J108" s="9">
        <f>J109+J113+J116+J119+J111+J148</f>
        <v>199251.78</v>
      </c>
      <c r="K108" s="9">
        <f>K109+K113+K116+K119+K111+K148</f>
        <v>337965.33999999997</v>
      </c>
      <c r="L108" s="10" t="e">
        <f>L109+#REF!</f>
        <v>#REF!</v>
      </c>
      <c r="M108" s="197"/>
      <c r="N108" s="198"/>
      <c r="O108" s="11">
        <f>I108-J108-K108</f>
        <v>0</v>
      </c>
      <c r="P108" s="12">
        <f t="shared" si="58"/>
        <v>37.089618439561271</v>
      </c>
      <c r="Q108" s="331"/>
      <c r="R108" s="331"/>
    </row>
    <row r="109" spans="1:50" ht="120.75" customHeight="1" x14ac:dyDescent="0.25">
      <c r="A109" s="190" t="s">
        <v>61</v>
      </c>
      <c r="B109" s="41" t="s">
        <v>9</v>
      </c>
      <c r="C109" s="41" t="s">
        <v>12</v>
      </c>
      <c r="D109" s="41" t="s">
        <v>14</v>
      </c>
      <c r="E109" s="41" t="s">
        <v>62</v>
      </c>
      <c r="F109" s="41"/>
      <c r="G109" s="41"/>
      <c r="H109" s="41"/>
      <c r="I109" s="17">
        <f>I110</f>
        <v>13261.15</v>
      </c>
      <c r="J109" s="17">
        <f t="shared" ref="J109:L111" si="59">J110</f>
        <v>5995.43</v>
      </c>
      <c r="K109" s="17">
        <f t="shared" si="59"/>
        <v>7265.7199999999993</v>
      </c>
      <c r="L109" s="18" t="e">
        <f t="shared" si="59"/>
        <v>#REF!</v>
      </c>
      <c r="M109" s="186"/>
      <c r="N109" s="187"/>
      <c r="O109" s="20">
        <f>I109-J109-K109</f>
        <v>0</v>
      </c>
      <c r="P109" s="21">
        <f t="shared" si="58"/>
        <v>45.210483253714798</v>
      </c>
      <c r="Q109" s="331"/>
      <c r="R109" s="331"/>
      <c r="S109" s="15"/>
    </row>
    <row r="110" spans="1:50" ht="23.25" customHeight="1" x14ac:dyDescent="0.25">
      <c r="A110" s="99" t="s">
        <v>113</v>
      </c>
      <c r="B110" s="22" t="s">
        <v>9</v>
      </c>
      <c r="C110" s="22" t="s">
        <v>12</v>
      </c>
      <c r="D110" s="22" t="s">
        <v>14</v>
      </c>
      <c r="E110" s="43" t="s">
        <v>62</v>
      </c>
      <c r="F110" s="22" t="s">
        <v>63</v>
      </c>
      <c r="G110" s="22" t="s">
        <v>114</v>
      </c>
      <c r="H110" s="22"/>
      <c r="I110" s="23">
        <v>13261.15</v>
      </c>
      <c r="J110" s="34">
        <v>5995.43</v>
      </c>
      <c r="K110" s="34">
        <f>I110-J110</f>
        <v>7265.7199999999993</v>
      </c>
      <c r="L110" s="24" t="e">
        <f>#REF!</f>
        <v>#REF!</v>
      </c>
      <c r="M110" s="184"/>
      <c r="N110" s="185"/>
      <c r="O110" s="25">
        <f>I110-K110-J110</f>
        <v>0</v>
      </c>
      <c r="P110" s="26">
        <f t="shared" si="58"/>
        <v>45.210483253714798</v>
      </c>
      <c r="Q110" s="331"/>
      <c r="R110" s="331"/>
      <c r="Z110" s="15"/>
      <c r="AA110" s="15"/>
      <c r="AB110" s="15"/>
      <c r="AC110" s="15"/>
      <c r="AD110" s="15"/>
    </row>
    <row r="111" spans="1:50" ht="106.5" customHeight="1" x14ac:dyDescent="0.25">
      <c r="A111" s="190" t="s">
        <v>141</v>
      </c>
      <c r="B111" s="41" t="s">
        <v>9</v>
      </c>
      <c r="C111" s="41" t="s">
        <v>12</v>
      </c>
      <c r="D111" s="41" t="s">
        <v>14</v>
      </c>
      <c r="E111" s="41" t="s">
        <v>136</v>
      </c>
      <c r="F111" s="41"/>
      <c r="G111" s="41"/>
      <c r="H111" s="41"/>
      <c r="I111" s="17">
        <f>I112</f>
        <v>355955.97</v>
      </c>
      <c r="J111" s="17">
        <f t="shared" si="59"/>
        <v>80256.350000000006</v>
      </c>
      <c r="K111" s="17">
        <f t="shared" si="59"/>
        <v>275699.62</v>
      </c>
      <c r="L111" s="18" t="e">
        <f t="shared" si="59"/>
        <v>#REF!</v>
      </c>
      <c r="M111" s="186"/>
      <c r="N111" s="187"/>
      <c r="O111" s="20">
        <f>I111-J111-K111</f>
        <v>0</v>
      </c>
      <c r="P111" s="21">
        <f t="shared" si="58"/>
        <v>22.546707110994657</v>
      </c>
      <c r="Q111" s="331"/>
      <c r="R111" s="331"/>
      <c r="Z111" s="15"/>
      <c r="AA111" s="15"/>
      <c r="AB111" s="15"/>
      <c r="AC111" s="15"/>
      <c r="AD111" s="15"/>
    </row>
    <row r="112" spans="1:50" ht="23.25" customHeight="1" x14ac:dyDescent="0.25">
      <c r="A112" s="99" t="s">
        <v>113</v>
      </c>
      <c r="B112" s="22" t="s">
        <v>9</v>
      </c>
      <c r="C112" s="22" t="s">
        <v>12</v>
      </c>
      <c r="D112" s="22" t="s">
        <v>14</v>
      </c>
      <c r="E112" s="43" t="s">
        <v>136</v>
      </c>
      <c r="F112" s="22" t="s">
        <v>63</v>
      </c>
      <c r="G112" s="22" t="s">
        <v>114</v>
      </c>
      <c r="H112" s="22"/>
      <c r="I112" s="23">
        <v>355955.97</v>
      </c>
      <c r="J112" s="34">
        <v>80256.350000000006</v>
      </c>
      <c r="K112" s="34">
        <f>I112-J112</f>
        <v>275699.62</v>
      </c>
      <c r="L112" s="24" t="e">
        <f>#REF!</f>
        <v>#REF!</v>
      </c>
      <c r="M112" s="184"/>
      <c r="N112" s="185"/>
      <c r="O112" s="25">
        <f>I112-K112-J112</f>
        <v>0</v>
      </c>
      <c r="P112" s="26">
        <f t="shared" si="58"/>
        <v>22.546707110994657</v>
      </c>
      <c r="Q112" s="331"/>
      <c r="R112" s="331"/>
      <c r="Z112" s="15"/>
      <c r="AA112" s="15"/>
      <c r="AB112" s="15"/>
      <c r="AC112" s="15"/>
      <c r="AD112" s="15"/>
    </row>
    <row r="113" spans="1:50" s="2" customFormat="1" ht="80.25" customHeight="1" x14ac:dyDescent="0.25">
      <c r="A113" s="190" t="s">
        <v>117</v>
      </c>
      <c r="B113" s="41" t="s">
        <v>9</v>
      </c>
      <c r="C113" s="41" t="s">
        <v>12</v>
      </c>
      <c r="D113" s="41" t="s">
        <v>12</v>
      </c>
      <c r="E113" s="41" t="s">
        <v>90</v>
      </c>
      <c r="F113" s="41"/>
      <c r="G113" s="16"/>
      <c r="H113" s="16"/>
      <c r="I113" s="17">
        <f>I114+I115</f>
        <v>65000</v>
      </c>
      <c r="J113" s="17">
        <f t="shared" ref="J113:K113" si="60">J114+J115</f>
        <v>25000</v>
      </c>
      <c r="K113" s="17">
        <f t="shared" si="60"/>
        <v>40000</v>
      </c>
      <c r="L113" s="69"/>
      <c r="M113" s="186"/>
      <c r="N113" s="187"/>
      <c r="O113" s="20">
        <v>0</v>
      </c>
      <c r="P113" s="21">
        <f t="shared" si="58"/>
        <v>38.461538461538467</v>
      </c>
      <c r="Q113" s="331"/>
      <c r="R113" s="331"/>
      <c r="S113" s="1"/>
      <c r="T113" s="15"/>
      <c r="U113" s="15"/>
      <c r="V113" s="15"/>
      <c r="W113" s="15"/>
      <c r="X113" s="15"/>
      <c r="Y113" s="1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" customFormat="1" ht="39.75" customHeight="1" x14ac:dyDescent="0.25">
      <c r="A114" s="175" t="s">
        <v>109</v>
      </c>
      <c r="B114" s="22" t="s">
        <v>9</v>
      </c>
      <c r="C114" s="22" t="s">
        <v>12</v>
      </c>
      <c r="D114" s="22" t="s">
        <v>12</v>
      </c>
      <c r="E114" s="43" t="s">
        <v>90</v>
      </c>
      <c r="F114" s="22" t="s">
        <v>63</v>
      </c>
      <c r="G114" s="22" t="s">
        <v>104</v>
      </c>
      <c r="H114" s="22"/>
      <c r="I114" s="23">
        <v>22000</v>
      </c>
      <c r="J114" s="34">
        <v>17000</v>
      </c>
      <c r="K114" s="35">
        <f>I114-J114</f>
        <v>5000</v>
      </c>
      <c r="L114" s="57"/>
      <c r="M114" s="188"/>
      <c r="N114" s="189"/>
      <c r="O114" s="25">
        <f>O115</f>
        <v>0</v>
      </c>
      <c r="P114" s="26">
        <f t="shared" si="58"/>
        <v>77.272727272727266</v>
      </c>
      <c r="Q114" s="331"/>
      <c r="R114" s="331"/>
      <c r="S114" s="1"/>
      <c r="T114" s="15"/>
      <c r="U114" s="15"/>
      <c r="V114" s="15"/>
      <c r="W114" s="15"/>
      <c r="X114" s="15"/>
      <c r="Y114" s="1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" customFormat="1" ht="40.5" customHeight="1" x14ac:dyDescent="0.25">
      <c r="A115" s="175" t="s">
        <v>110</v>
      </c>
      <c r="B115" s="22" t="s">
        <v>9</v>
      </c>
      <c r="C115" s="22" t="s">
        <v>12</v>
      </c>
      <c r="D115" s="22" t="s">
        <v>12</v>
      </c>
      <c r="E115" s="43" t="s">
        <v>90</v>
      </c>
      <c r="F115" s="22" t="s">
        <v>63</v>
      </c>
      <c r="G115" s="22" t="s">
        <v>105</v>
      </c>
      <c r="H115" s="22"/>
      <c r="I115" s="23">
        <v>43000</v>
      </c>
      <c r="J115" s="34">
        <v>8000</v>
      </c>
      <c r="K115" s="35">
        <f>I115-J115</f>
        <v>35000</v>
      </c>
      <c r="L115" s="49"/>
      <c r="M115" s="188"/>
      <c r="N115" s="189"/>
      <c r="O115" s="25">
        <f>I115-J115-K115</f>
        <v>0</v>
      </c>
      <c r="P115" s="26">
        <f t="shared" si="58"/>
        <v>18.604651162790699</v>
      </c>
      <c r="Q115" s="331"/>
      <c r="R115" s="331"/>
      <c r="S115" s="1"/>
      <c r="T115" s="15"/>
      <c r="U115" s="15"/>
      <c r="V115" s="15"/>
      <c r="W115" s="15"/>
      <c r="X115" s="15"/>
      <c r="Y115" s="1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" customFormat="1" ht="91.5" customHeight="1" x14ac:dyDescent="0.25">
      <c r="A116" s="190" t="s">
        <v>118</v>
      </c>
      <c r="B116" s="41" t="s">
        <v>9</v>
      </c>
      <c r="C116" s="41" t="s">
        <v>12</v>
      </c>
      <c r="D116" s="41" t="s">
        <v>12</v>
      </c>
      <c r="E116" s="16" t="s">
        <v>115</v>
      </c>
      <c r="F116" s="41"/>
      <c r="G116" s="16"/>
      <c r="H116" s="16"/>
      <c r="I116" s="17">
        <f>I117+I118</f>
        <v>13000</v>
      </c>
      <c r="J116" s="17">
        <f t="shared" ref="J116:K116" si="61">J117+J118</f>
        <v>8000</v>
      </c>
      <c r="K116" s="17">
        <f t="shared" si="61"/>
        <v>5000</v>
      </c>
      <c r="L116" s="69"/>
      <c r="M116" s="186"/>
      <c r="N116" s="187"/>
      <c r="O116" s="20">
        <v>0</v>
      </c>
      <c r="P116" s="21">
        <f t="shared" si="58"/>
        <v>61.53846153846154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39.75" customHeight="1" x14ac:dyDescent="0.25">
      <c r="A117" s="175" t="s">
        <v>109</v>
      </c>
      <c r="B117" s="22" t="s">
        <v>9</v>
      </c>
      <c r="C117" s="22" t="s">
        <v>12</v>
      </c>
      <c r="D117" s="22" t="s">
        <v>12</v>
      </c>
      <c r="E117" s="43" t="s">
        <v>115</v>
      </c>
      <c r="F117" s="22" t="s">
        <v>63</v>
      </c>
      <c r="G117" s="22" t="s">
        <v>104</v>
      </c>
      <c r="H117" s="22"/>
      <c r="I117" s="23">
        <v>10000</v>
      </c>
      <c r="J117" s="34">
        <v>2000</v>
      </c>
      <c r="K117" s="35">
        <f>I117-J117</f>
        <v>8000</v>
      </c>
      <c r="L117" s="57"/>
      <c r="M117" s="188"/>
      <c r="N117" s="189"/>
      <c r="O117" s="25">
        <f>O118</f>
        <v>0</v>
      </c>
      <c r="P117" s="26">
        <f t="shared" si="58"/>
        <v>20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40.5" customHeight="1" x14ac:dyDescent="0.25">
      <c r="A118" s="175" t="s">
        <v>110</v>
      </c>
      <c r="B118" s="22" t="s">
        <v>9</v>
      </c>
      <c r="C118" s="22" t="s">
        <v>12</v>
      </c>
      <c r="D118" s="22" t="s">
        <v>12</v>
      </c>
      <c r="E118" s="43" t="s">
        <v>115</v>
      </c>
      <c r="F118" s="22" t="s">
        <v>63</v>
      </c>
      <c r="G118" s="22" t="s">
        <v>105</v>
      </c>
      <c r="H118" s="22"/>
      <c r="I118" s="23">
        <v>3000</v>
      </c>
      <c r="J118" s="34">
        <v>6000</v>
      </c>
      <c r="K118" s="35">
        <f>I118-J118</f>
        <v>-3000</v>
      </c>
      <c r="L118" s="49"/>
      <c r="M118" s="188"/>
      <c r="N118" s="189"/>
      <c r="O118" s="25">
        <f>I118-J118-K118</f>
        <v>0</v>
      </c>
      <c r="P118" s="26">
        <f t="shared" si="58"/>
        <v>200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88.5" customHeight="1" x14ac:dyDescent="0.25">
      <c r="A119" s="190" t="s">
        <v>119</v>
      </c>
      <c r="B119" s="41" t="s">
        <v>9</v>
      </c>
      <c r="C119" s="41" t="s">
        <v>12</v>
      </c>
      <c r="D119" s="41" t="s">
        <v>85</v>
      </c>
      <c r="E119" s="16" t="s">
        <v>116</v>
      </c>
      <c r="F119" s="41"/>
      <c r="G119" s="16"/>
      <c r="H119" s="16"/>
      <c r="I119" s="17">
        <f>I120+I121</f>
        <v>27000</v>
      </c>
      <c r="J119" s="17">
        <f t="shared" ref="J119:K119" si="62">J120+J121</f>
        <v>17000</v>
      </c>
      <c r="K119" s="17">
        <f t="shared" si="62"/>
        <v>10000</v>
      </c>
      <c r="L119" s="69"/>
      <c r="M119" s="186"/>
      <c r="N119" s="187"/>
      <c r="O119" s="20">
        <v>0</v>
      </c>
      <c r="P119" s="21">
        <f t="shared" si="58"/>
        <v>62.962962962962962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39.75" customHeight="1" x14ac:dyDescent="0.25">
      <c r="A120" s="175" t="s">
        <v>109</v>
      </c>
      <c r="B120" s="22" t="s">
        <v>9</v>
      </c>
      <c r="C120" s="22" t="s">
        <v>12</v>
      </c>
      <c r="D120" s="22" t="s">
        <v>85</v>
      </c>
      <c r="E120" s="43" t="s">
        <v>116</v>
      </c>
      <c r="F120" s="22" t="s">
        <v>63</v>
      </c>
      <c r="G120" s="22" t="s">
        <v>104</v>
      </c>
      <c r="H120" s="22"/>
      <c r="I120" s="23">
        <v>7000</v>
      </c>
      <c r="J120" s="34">
        <v>3000</v>
      </c>
      <c r="K120" s="35">
        <f>I120-J120</f>
        <v>4000</v>
      </c>
      <c r="L120" s="57"/>
      <c r="M120" s="188"/>
      <c r="N120" s="189"/>
      <c r="O120" s="25">
        <f>O121</f>
        <v>0</v>
      </c>
      <c r="P120" s="26">
        <f t="shared" si="58"/>
        <v>42.857142857142854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40.5" customHeight="1" x14ac:dyDescent="0.25">
      <c r="A121" s="175" t="s">
        <v>110</v>
      </c>
      <c r="B121" s="22" t="s">
        <v>9</v>
      </c>
      <c r="C121" s="22" t="s">
        <v>12</v>
      </c>
      <c r="D121" s="22" t="s">
        <v>85</v>
      </c>
      <c r="E121" s="43" t="s">
        <v>116</v>
      </c>
      <c r="F121" s="22" t="s">
        <v>63</v>
      </c>
      <c r="G121" s="22" t="s">
        <v>105</v>
      </c>
      <c r="H121" s="22"/>
      <c r="I121" s="23">
        <v>20000</v>
      </c>
      <c r="J121" s="34">
        <v>14000</v>
      </c>
      <c r="K121" s="35">
        <f>I121-J121</f>
        <v>6000</v>
      </c>
      <c r="L121" s="49"/>
      <c r="M121" s="188"/>
      <c r="N121" s="189"/>
      <c r="O121" s="25">
        <f>I121-J121-K121</f>
        <v>0</v>
      </c>
      <c r="P121" s="26">
        <f t="shared" si="58"/>
        <v>70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59.25" customHeight="1" x14ac:dyDescent="0.25">
      <c r="A122" s="86" t="s">
        <v>67</v>
      </c>
      <c r="B122" s="41" t="s">
        <v>9</v>
      </c>
      <c r="C122" s="41" t="s">
        <v>68</v>
      </c>
      <c r="D122" s="41" t="s">
        <v>69</v>
      </c>
      <c r="E122" s="41" t="s">
        <v>70</v>
      </c>
      <c r="F122" s="41"/>
      <c r="G122" s="41"/>
      <c r="H122" s="41"/>
      <c r="I122" s="17">
        <f>I123+I125+I127+I128+I124+I126</f>
        <v>65000</v>
      </c>
      <c r="J122" s="17">
        <f>J123+J125+J127+J128+J124+J126</f>
        <v>38352</v>
      </c>
      <c r="K122" s="17">
        <f>K123+K125+K127+K128+K124+K126</f>
        <v>26648</v>
      </c>
      <c r="L122" s="17" t="e">
        <f>L123+#REF!+#REF!</f>
        <v>#REF!</v>
      </c>
      <c r="M122" s="17" t="e">
        <f>M123+#REF!+#REF!</f>
        <v>#REF!</v>
      </c>
      <c r="N122" s="17" t="e">
        <f>N123+#REF!+#REF!</f>
        <v>#REF!</v>
      </c>
      <c r="O122" s="89">
        <f>I122-J122-K122</f>
        <v>0</v>
      </c>
      <c r="P122" s="21">
        <f t="shared" si="58"/>
        <v>59.003076923076925</v>
      </c>
      <c r="Q122" s="331"/>
      <c r="R122" s="33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18.75" x14ac:dyDescent="0.25">
      <c r="A123" s="175" t="s">
        <v>43</v>
      </c>
      <c r="B123" s="22" t="s">
        <v>9</v>
      </c>
      <c r="C123" s="22" t="s">
        <v>68</v>
      </c>
      <c r="D123" s="22" t="s">
        <v>69</v>
      </c>
      <c r="E123" s="22" t="s">
        <v>70</v>
      </c>
      <c r="F123" s="22" t="s">
        <v>63</v>
      </c>
      <c r="G123" s="22" t="s">
        <v>44</v>
      </c>
      <c r="H123" s="22"/>
      <c r="I123" s="23">
        <v>32600</v>
      </c>
      <c r="J123" s="23">
        <v>30000</v>
      </c>
      <c r="K123" s="23">
        <f>I123-J123</f>
        <v>2600</v>
      </c>
      <c r="L123" s="93"/>
      <c r="M123" s="188"/>
      <c r="N123" s="189"/>
      <c r="O123" s="25">
        <f>I123-J123-K123</f>
        <v>0</v>
      </c>
      <c r="P123" s="26">
        <f>J123/I123*100</f>
        <v>92.024539877300612</v>
      </c>
      <c r="Q123" s="331"/>
      <c r="R123" s="331"/>
      <c r="S123" s="15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18.75" x14ac:dyDescent="0.25">
      <c r="A124" s="175" t="s">
        <v>123</v>
      </c>
      <c r="B124" s="22" t="s">
        <v>9</v>
      </c>
      <c r="C124" s="22" t="s">
        <v>68</v>
      </c>
      <c r="D124" s="22" t="s">
        <v>69</v>
      </c>
      <c r="E124" s="22" t="s">
        <v>70</v>
      </c>
      <c r="F124" s="22" t="s">
        <v>63</v>
      </c>
      <c r="G124" s="22" t="s">
        <v>124</v>
      </c>
      <c r="H124" s="22"/>
      <c r="I124" s="23">
        <v>7500</v>
      </c>
      <c r="J124" s="34">
        <v>600</v>
      </c>
      <c r="K124" s="23">
        <f t="shared" ref="K124:K128" si="63">I124-J124</f>
        <v>6900</v>
      </c>
      <c r="L124" s="93"/>
      <c r="M124" s="188"/>
      <c r="N124" s="189"/>
      <c r="O124" s="25">
        <f t="shared" ref="O124:O136" si="64">I124-J124-K124</f>
        <v>0</v>
      </c>
      <c r="P124" s="26">
        <f>J124/I124*100</f>
        <v>8</v>
      </c>
      <c r="Q124" s="338"/>
      <c r="R124" s="339"/>
      <c r="S124" s="15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37.5" x14ac:dyDescent="0.25">
      <c r="A125" s="175" t="s">
        <v>106</v>
      </c>
      <c r="B125" s="22" t="s">
        <v>9</v>
      </c>
      <c r="C125" s="22" t="s">
        <v>68</v>
      </c>
      <c r="D125" s="22" t="s">
        <v>69</v>
      </c>
      <c r="E125" s="22" t="s">
        <v>70</v>
      </c>
      <c r="F125" s="22" t="s">
        <v>63</v>
      </c>
      <c r="G125" s="22" t="s">
        <v>101</v>
      </c>
      <c r="H125" s="22"/>
      <c r="I125" s="23">
        <v>2500</v>
      </c>
      <c r="J125" s="34">
        <v>0</v>
      </c>
      <c r="K125" s="23">
        <f t="shared" si="63"/>
        <v>2500</v>
      </c>
      <c r="L125" s="93"/>
      <c r="M125" s="188"/>
      <c r="N125" s="189"/>
      <c r="O125" s="25">
        <f t="shared" si="64"/>
        <v>0</v>
      </c>
      <c r="P125" s="26">
        <v>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18.75" x14ac:dyDescent="0.25">
      <c r="A126" s="175" t="s">
        <v>108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103</v>
      </c>
      <c r="H126" s="22"/>
      <c r="I126" s="23">
        <v>0</v>
      </c>
      <c r="J126" s="34">
        <v>0</v>
      </c>
      <c r="K126" s="23">
        <f t="shared" si="63"/>
        <v>0</v>
      </c>
      <c r="L126" s="93"/>
      <c r="M126" s="188"/>
      <c r="N126" s="189"/>
      <c r="O126" s="25">
        <f t="shared" si="64"/>
        <v>0</v>
      </c>
      <c r="P126" s="26"/>
      <c r="Q126" s="218"/>
      <c r="R126" s="218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37.5" customHeight="1" x14ac:dyDescent="0.25">
      <c r="A127" s="175" t="s">
        <v>109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104</v>
      </c>
      <c r="H127" s="22"/>
      <c r="I127" s="23">
        <v>12400</v>
      </c>
      <c r="J127" s="34">
        <v>0</v>
      </c>
      <c r="K127" s="23">
        <f t="shared" si="63"/>
        <v>12400</v>
      </c>
      <c r="L127" s="93"/>
      <c r="M127" s="188"/>
      <c r="N127" s="189"/>
      <c r="O127" s="25">
        <f t="shared" si="64"/>
        <v>0</v>
      </c>
      <c r="P127" s="26">
        <v>0</v>
      </c>
      <c r="Q127" s="331"/>
      <c r="R127" s="33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37.5" x14ac:dyDescent="0.25">
      <c r="A128" s="175" t="s">
        <v>110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105</v>
      </c>
      <c r="H128" s="22"/>
      <c r="I128" s="23">
        <v>10000</v>
      </c>
      <c r="J128" s="34">
        <v>7752</v>
      </c>
      <c r="K128" s="23">
        <f t="shared" si="63"/>
        <v>2248</v>
      </c>
      <c r="L128" s="93"/>
      <c r="M128" s="188"/>
      <c r="N128" s="189"/>
      <c r="O128" s="25">
        <f t="shared" si="64"/>
        <v>0</v>
      </c>
      <c r="P128" s="26">
        <f t="shared" ref="P128:P149" si="65">J128/I128*100</f>
        <v>77.52</v>
      </c>
      <c r="Q128" s="331"/>
      <c r="R128" s="3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82.5" hidden="1" customHeight="1" x14ac:dyDescent="0.25">
      <c r="A129" s="190" t="s">
        <v>125</v>
      </c>
      <c r="B129" s="41" t="s">
        <v>9</v>
      </c>
      <c r="C129" s="41" t="s">
        <v>12</v>
      </c>
      <c r="D129" s="41" t="s">
        <v>12</v>
      </c>
      <c r="E129" s="41" t="s">
        <v>126</v>
      </c>
      <c r="F129" s="41"/>
      <c r="G129" s="16"/>
      <c r="H129" s="16"/>
      <c r="I129" s="17">
        <f>I130+I131</f>
        <v>0</v>
      </c>
      <c r="J129" s="17">
        <f t="shared" ref="J129:K129" si="66">J130+J131</f>
        <v>0</v>
      </c>
      <c r="K129" s="17">
        <f t="shared" si="66"/>
        <v>0</v>
      </c>
      <c r="L129" s="69"/>
      <c r="M129" s="186"/>
      <c r="N129" s="187"/>
      <c r="O129" s="20">
        <f t="shared" si="64"/>
        <v>0</v>
      </c>
      <c r="P129" s="21" t="e">
        <f t="shared" si="65"/>
        <v>#DIV/0!</v>
      </c>
      <c r="Q129" s="321"/>
      <c r="R129" s="32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18.75" hidden="1" x14ac:dyDescent="0.25">
      <c r="A130" s="175" t="s">
        <v>27</v>
      </c>
      <c r="B130" s="22" t="s">
        <v>9</v>
      </c>
      <c r="C130" s="22" t="s">
        <v>12</v>
      </c>
      <c r="D130" s="22" t="s">
        <v>12</v>
      </c>
      <c r="E130" s="43" t="s">
        <v>126</v>
      </c>
      <c r="F130" s="22" t="s">
        <v>63</v>
      </c>
      <c r="G130" s="22" t="s">
        <v>28</v>
      </c>
      <c r="H130" s="22"/>
      <c r="I130" s="121">
        <v>0</v>
      </c>
      <c r="J130" s="122">
        <v>0</v>
      </c>
      <c r="K130" s="35">
        <f>I130-J130</f>
        <v>0</v>
      </c>
      <c r="L130" s="57"/>
      <c r="M130" s="188"/>
      <c r="N130" s="189"/>
      <c r="O130" s="25">
        <f t="shared" si="64"/>
        <v>0</v>
      </c>
      <c r="P130" s="26" t="e">
        <f t="shared" si="65"/>
        <v>#DIV/0!</v>
      </c>
      <c r="Q130" s="325"/>
      <c r="R130" s="326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18.75" hidden="1" x14ac:dyDescent="0.25">
      <c r="A131" s="99" t="s">
        <v>31</v>
      </c>
      <c r="B131" s="22" t="s">
        <v>9</v>
      </c>
      <c r="C131" s="22" t="s">
        <v>12</v>
      </c>
      <c r="D131" s="22" t="s">
        <v>12</v>
      </c>
      <c r="E131" s="43" t="s">
        <v>126</v>
      </c>
      <c r="F131" s="22" t="s">
        <v>63</v>
      </c>
      <c r="G131" s="22" t="s">
        <v>32</v>
      </c>
      <c r="H131" s="22"/>
      <c r="I131" s="121">
        <v>0</v>
      </c>
      <c r="J131" s="122">
        <v>0</v>
      </c>
      <c r="K131" s="35">
        <f>I131-J131</f>
        <v>0</v>
      </c>
      <c r="L131" s="49"/>
      <c r="M131" s="188"/>
      <c r="N131" s="189"/>
      <c r="O131" s="25">
        <f t="shared" si="64"/>
        <v>0</v>
      </c>
      <c r="P131" s="26" t="e">
        <f t="shared" si="65"/>
        <v>#DIV/0!</v>
      </c>
      <c r="Q131" s="323"/>
      <c r="R131" s="3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65.25" customHeight="1" x14ac:dyDescent="0.25">
      <c r="A132" s="199" t="s">
        <v>142</v>
      </c>
      <c r="B132" s="104" t="s">
        <v>9</v>
      </c>
      <c r="C132" s="104" t="s">
        <v>68</v>
      </c>
      <c r="D132" s="104" t="s">
        <v>14</v>
      </c>
      <c r="E132" s="104" t="s">
        <v>137</v>
      </c>
      <c r="F132" s="104"/>
      <c r="G132" s="105"/>
      <c r="H132" s="105"/>
      <c r="I132" s="17">
        <f>I133</f>
        <v>40000</v>
      </c>
      <c r="J132" s="17">
        <f t="shared" ref="J132:K132" si="67">J133</f>
        <v>0</v>
      </c>
      <c r="K132" s="17">
        <f t="shared" si="67"/>
        <v>40000</v>
      </c>
      <c r="L132" s="115"/>
      <c r="M132" s="195"/>
      <c r="N132" s="196"/>
      <c r="O132" s="20">
        <f>I132-J132-K132</f>
        <v>0</v>
      </c>
      <c r="P132" s="21">
        <f t="shared" si="65"/>
        <v>0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49.5" customHeight="1" x14ac:dyDescent="0.25">
      <c r="A133" s="175" t="s">
        <v>109</v>
      </c>
      <c r="B133" s="112" t="s">
        <v>9</v>
      </c>
      <c r="C133" s="112" t="s">
        <v>68</v>
      </c>
      <c r="D133" s="112" t="s">
        <v>14</v>
      </c>
      <c r="E133" s="113" t="s">
        <v>137</v>
      </c>
      <c r="F133" s="112" t="s">
        <v>63</v>
      </c>
      <c r="G133" s="112" t="s">
        <v>104</v>
      </c>
      <c r="H133" s="112"/>
      <c r="I133" s="23">
        <v>40000</v>
      </c>
      <c r="J133" s="34">
        <v>0</v>
      </c>
      <c r="K133" s="35">
        <f t="shared" ref="K133:K135" si="68">I133-J133</f>
        <v>40000</v>
      </c>
      <c r="L133" s="114"/>
      <c r="M133" s="188"/>
      <c r="N133" s="189"/>
      <c r="O133" s="25">
        <f t="shared" si="64"/>
        <v>0</v>
      </c>
      <c r="P133" s="26">
        <f t="shared" si="65"/>
        <v>0</v>
      </c>
      <c r="Q133" s="323"/>
      <c r="R133" s="3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60" hidden="1" customHeight="1" x14ac:dyDescent="0.25">
      <c r="A134" s="199" t="s">
        <v>143</v>
      </c>
      <c r="B134" s="104" t="s">
        <v>9</v>
      </c>
      <c r="C134" s="104" t="s">
        <v>12</v>
      </c>
      <c r="D134" s="104" t="s">
        <v>14</v>
      </c>
      <c r="E134" s="104" t="s">
        <v>138</v>
      </c>
      <c r="F134" s="104"/>
      <c r="G134" s="104"/>
      <c r="H134" s="104"/>
      <c r="I134" s="106">
        <f>I135</f>
        <v>0</v>
      </c>
      <c r="J134" s="106">
        <f t="shared" ref="J134:K134" si="69">J135</f>
        <v>0</v>
      </c>
      <c r="K134" s="106">
        <f t="shared" si="69"/>
        <v>0</v>
      </c>
      <c r="L134" s="115"/>
      <c r="M134" s="195"/>
      <c r="N134" s="196"/>
      <c r="O134" s="20">
        <f>I134-J134-K134</f>
        <v>0</v>
      </c>
      <c r="P134" s="21" t="e">
        <f t="shared" si="65"/>
        <v>#DIV/0!</v>
      </c>
      <c r="Q134" s="321"/>
      <c r="R134" s="3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27.75" hidden="1" customHeight="1" x14ac:dyDescent="0.25">
      <c r="A135" s="99" t="s">
        <v>47</v>
      </c>
      <c r="B135" s="112" t="s">
        <v>9</v>
      </c>
      <c r="C135" s="112" t="s">
        <v>12</v>
      </c>
      <c r="D135" s="112" t="s">
        <v>14</v>
      </c>
      <c r="E135" s="113" t="s">
        <v>138</v>
      </c>
      <c r="F135" s="112" t="s">
        <v>63</v>
      </c>
      <c r="G135" s="112" t="s">
        <v>48</v>
      </c>
      <c r="H135" s="112"/>
      <c r="I135" s="118">
        <v>0</v>
      </c>
      <c r="J135" s="158">
        <v>0</v>
      </c>
      <c r="K135" s="118">
        <f t="shared" si="68"/>
        <v>0</v>
      </c>
      <c r="L135" s="114"/>
      <c r="M135" s="188"/>
      <c r="N135" s="189"/>
      <c r="O135" s="119">
        <f t="shared" si="64"/>
        <v>0</v>
      </c>
      <c r="P135" s="120" t="e">
        <f t="shared" si="65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82.5" hidden="1" customHeight="1" x14ac:dyDescent="0.25">
      <c r="A136" s="190" t="s">
        <v>127</v>
      </c>
      <c r="B136" s="104" t="s">
        <v>9</v>
      </c>
      <c r="C136" s="104" t="s">
        <v>12</v>
      </c>
      <c r="D136" s="104" t="s">
        <v>85</v>
      </c>
      <c r="E136" s="104" t="s">
        <v>86</v>
      </c>
      <c r="F136" s="104"/>
      <c r="G136" s="105"/>
      <c r="H136" s="105"/>
      <c r="I136" s="106">
        <f>I137+I138</f>
        <v>0</v>
      </c>
      <c r="J136" s="106">
        <f>J137+J138</f>
        <v>0</v>
      </c>
      <c r="K136" s="106">
        <f>K137+K138</f>
        <v>0</v>
      </c>
      <c r="L136" s="106">
        <f t="shared" ref="L136:N136" si="70">L137</f>
        <v>0</v>
      </c>
      <c r="M136" s="106">
        <f t="shared" si="70"/>
        <v>0</v>
      </c>
      <c r="N136" s="106">
        <f t="shared" si="70"/>
        <v>0</v>
      </c>
      <c r="O136" s="107">
        <f t="shared" si="64"/>
        <v>0</v>
      </c>
      <c r="P136" s="108" t="e">
        <f t="shared" si="65"/>
        <v>#DIV/0!</v>
      </c>
      <c r="Q136" s="321"/>
      <c r="R136" s="32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18.75" hidden="1" x14ac:dyDescent="0.25">
      <c r="A137" s="175" t="s">
        <v>41</v>
      </c>
      <c r="B137" s="22" t="s">
        <v>9</v>
      </c>
      <c r="C137" s="22" t="s">
        <v>12</v>
      </c>
      <c r="D137" s="22" t="s">
        <v>85</v>
      </c>
      <c r="E137" s="22" t="s">
        <v>86</v>
      </c>
      <c r="F137" s="22" t="s">
        <v>63</v>
      </c>
      <c r="G137" s="22" t="s">
        <v>42</v>
      </c>
      <c r="H137" s="22"/>
      <c r="I137" s="121"/>
      <c r="J137" s="121"/>
      <c r="K137" s="23">
        <f>I137-J137</f>
        <v>0</v>
      </c>
      <c r="L137" s="109"/>
      <c r="M137" s="110"/>
      <c r="N137" s="111"/>
      <c r="O137" s="25">
        <f>I137-J137-K137</f>
        <v>0</v>
      </c>
      <c r="P137" s="26" t="e">
        <f t="shared" si="65"/>
        <v>#DIV/0!</v>
      </c>
      <c r="Q137" s="323"/>
      <c r="R137" s="3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18.75" hidden="1" x14ac:dyDescent="0.25">
      <c r="A138" s="99" t="s">
        <v>47</v>
      </c>
      <c r="B138" s="22" t="s">
        <v>9</v>
      </c>
      <c r="C138" s="22" t="s">
        <v>12</v>
      </c>
      <c r="D138" s="22" t="s">
        <v>85</v>
      </c>
      <c r="E138" s="22" t="s">
        <v>86</v>
      </c>
      <c r="F138" s="22" t="s">
        <v>63</v>
      </c>
      <c r="G138" s="22" t="s">
        <v>48</v>
      </c>
      <c r="H138" s="22"/>
      <c r="I138" s="121"/>
      <c r="J138" s="121">
        <v>0</v>
      </c>
      <c r="K138" s="23">
        <f>I138-J138</f>
        <v>0</v>
      </c>
      <c r="L138" s="109"/>
      <c r="M138" s="110"/>
      <c r="N138" s="111"/>
      <c r="O138" s="25">
        <f t="shared" ref="O138" si="71">I138-J138-K138</f>
        <v>0</v>
      </c>
      <c r="P138" s="26" t="e">
        <f t="shared" si="65"/>
        <v>#DIV/0!</v>
      </c>
      <c r="Q138" s="222"/>
      <c r="R138" s="22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60" hidden="1" customHeight="1" x14ac:dyDescent="0.25">
      <c r="A139" s="40" t="s">
        <v>139</v>
      </c>
      <c r="B139" s="104" t="s">
        <v>9</v>
      </c>
      <c r="C139" s="104" t="s">
        <v>12</v>
      </c>
      <c r="D139" s="104" t="s">
        <v>14</v>
      </c>
      <c r="E139" s="104" t="s">
        <v>135</v>
      </c>
      <c r="F139" s="104"/>
      <c r="G139" s="104"/>
      <c r="H139" s="104"/>
      <c r="I139" s="106">
        <f>I140</f>
        <v>0</v>
      </c>
      <c r="J139" s="106">
        <f t="shared" ref="J139:K139" si="72">J140</f>
        <v>0</v>
      </c>
      <c r="K139" s="106">
        <f t="shared" si="72"/>
        <v>0</v>
      </c>
      <c r="L139" s="115"/>
      <c r="M139" s="195"/>
      <c r="N139" s="196"/>
      <c r="O139" s="20">
        <f>I139-J139-K139</f>
        <v>0</v>
      </c>
      <c r="P139" s="21" t="e">
        <f t="shared" si="65"/>
        <v>#DIV/0!</v>
      </c>
      <c r="Q139" s="321"/>
      <c r="R139" s="32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10.5" hidden="1" customHeight="1" x14ac:dyDescent="0.25">
      <c r="A140" s="99" t="s">
        <v>47</v>
      </c>
      <c r="B140" s="112" t="s">
        <v>9</v>
      </c>
      <c r="C140" s="112" t="s">
        <v>12</v>
      </c>
      <c r="D140" s="112" t="s">
        <v>14</v>
      </c>
      <c r="E140" s="105" t="s">
        <v>144</v>
      </c>
      <c r="F140" s="112" t="s">
        <v>63</v>
      </c>
      <c r="G140" s="112" t="s">
        <v>48</v>
      </c>
      <c r="H140" s="112"/>
      <c r="I140" s="123">
        <v>0</v>
      </c>
      <c r="J140" s="124">
        <v>0</v>
      </c>
      <c r="K140" s="118">
        <f t="shared" ref="K140" si="73">I140-J140</f>
        <v>0</v>
      </c>
      <c r="L140" s="114"/>
      <c r="M140" s="188"/>
      <c r="N140" s="189"/>
      <c r="O140" s="119">
        <f t="shared" ref="O140:O142" si="74">I140-J140-K140</f>
        <v>0</v>
      </c>
      <c r="P140" s="120" t="e">
        <f t="shared" si="65"/>
        <v>#DIV/0!</v>
      </c>
      <c r="Q140" s="323"/>
      <c r="R140" s="32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16.25" customHeight="1" x14ac:dyDescent="0.25">
      <c r="A141" s="190" t="s">
        <v>154</v>
      </c>
      <c r="B141" s="41" t="s">
        <v>9</v>
      </c>
      <c r="C141" s="41" t="s">
        <v>12</v>
      </c>
      <c r="D141" s="41" t="s">
        <v>14</v>
      </c>
      <c r="E141" s="41" t="s">
        <v>155</v>
      </c>
      <c r="F141" s="41"/>
      <c r="G141" s="41"/>
      <c r="H141" s="41"/>
      <c r="I141" s="56">
        <f>I142</f>
        <v>9742.86</v>
      </c>
      <c r="J141" s="55">
        <f>J142</f>
        <v>3782.33</v>
      </c>
      <c r="K141" s="55">
        <f>I141-J141</f>
        <v>5960.5300000000007</v>
      </c>
      <c r="L141" s="18" t="e">
        <f>L142</f>
        <v>#REF!</v>
      </c>
      <c r="M141" s="186"/>
      <c r="N141" s="187"/>
      <c r="O141" s="20">
        <f t="shared" si="74"/>
        <v>0</v>
      </c>
      <c r="P141" s="21">
        <f>J141/I141*100</f>
        <v>38.821557530335035</v>
      </c>
      <c r="Q141" s="331"/>
      <c r="R141" s="331"/>
      <c r="S141" s="15"/>
    </row>
    <row r="142" spans="1:50" ht="18.75" x14ac:dyDescent="0.25">
      <c r="A142" s="99" t="s">
        <v>113</v>
      </c>
      <c r="B142" s="22" t="s">
        <v>9</v>
      </c>
      <c r="C142" s="22" t="s">
        <v>12</v>
      </c>
      <c r="D142" s="22" t="s">
        <v>14</v>
      </c>
      <c r="E142" s="22" t="s">
        <v>155</v>
      </c>
      <c r="F142" s="22" t="s">
        <v>63</v>
      </c>
      <c r="G142" s="22" t="s">
        <v>114</v>
      </c>
      <c r="H142" s="22"/>
      <c r="I142" s="23">
        <v>9742.86</v>
      </c>
      <c r="J142" s="34">
        <v>3782.33</v>
      </c>
      <c r="K142" s="34">
        <f>I142-J142</f>
        <v>5960.5300000000007</v>
      </c>
      <c r="L142" s="24" t="e">
        <f>#REF!</f>
        <v>#REF!</v>
      </c>
      <c r="M142" s="184"/>
      <c r="N142" s="185"/>
      <c r="O142" s="25">
        <f t="shared" si="74"/>
        <v>0</v>
      </c>
      <c r="P142" s="26">
        <f>J142/I142*100</f>
        <v>38.821557530335035</v>
      </c>
      <c r="Q142" s="331"/>
      <c r="R142" s="331"/>
      <c r="Z142" s="15"/>
      <c r="AA142" s="15"/>
      <c r="AB142" s="15"/>
      <c r="AC142" s="15"/>
      <c r="AD142" s="15"/>
    </row>
    <row r="143" spans="1:50" s="2" customFormat="1" ht="60" customHeight="1" x14ac:dyDescent="0.25">
      <c r="A143" s="199" t="s">
        <v>145</v>
      </c>
      <c r="B143" s="104" t="s">
        <v>9</v>
      </c>
      <c r="C143" s="104" t="s">
        <v>12</v>
      </c>
      <c r="D143" s="104" t="s">
        <v>12</v>
      </c>
      <c r="E143" s="104" t="s">
        <v>126</v>
      </c>
      <c r="F143" s="104"/>
      <c r="G143" s="104"/>
      <c r="H143" s="104"/>
      <c r="I143" s="106">
        <f>I144+I145</f>
        <v>130000</v>
      </c>
      <c r="J143" s="106">
        <f>J145+J144</f>
        <v>0</v>
      </c>
      <c r="K143" s="106">
        <f>K145+K144</f>
        <v>130000</v>
      </c>
      <c r="L143" s="115"/>
      <c r="M143" s="195"/>
      <c r="N143" s="196"/>
      <c r="O143" s="20">
        <f>I143-J143-K143</f>
        <v>0</v>
      </c>
      <c r="P143" s="21">
        <f t="shared" si="65"/>
        <v>0</v>
      </c>
      <c r="Q143" s="321"/>
      <c r="R143" s="3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33" customHeight="1" x14ac:dyDescent="0.25">
      <c r="A144" s="194" t="s">
        <v>27</v>
      </c>
      <c r="B144" s="112" t="s">
        <v>9</v>
      </c>
      <c r="C144" s="112" t="s">
        <v>12</v>
      </c>
      <c r="D144" s="112" t="s">
        <v>12</v>
      </c>
      <c r="E144" s="112" t="s">
        <v>126</v>
      </c>
      <c r="F144" s="112" t="s">
        <v>63</v>
      </c>
      <c r="G144" s="112" t="s">
        <v>28</v>
      </c>
      <c r="H144" s="129"/>
      <c r="I144" s="116">
        <v>99846.39</v>
      </c>
      <c r="J144" s="117">
        <v>0</v>
      </c>
      <c r="K144" s="116">
        <f>I144-J144</f>
        <v>99846.39</v>
      </c>
      <c r="L144" s="131"/>
      <c r="M144" s="184"/>
      <c r="N144" s="185"/>
      <c r="O144" s="119">
        <f t="shared" ref="O144:O145" si="75">I144-J144-K144</f>
        <v>0</v>
      </c>
      <c r="P144" s="120">
        <f t="shared" si="65"/>
        <v>0</v>
      </c>
      <c r="Q144" s="325"/>
      <c r="R144" s="326"/>
    </row>
    <row r="145" spans="1:50" s="2" customFormat="1" ht="27.75" customHeight="1" x14ac:dyDescent="0.25">
      <c r="A145" s="175" t="s">
        <v>31</v>
      </c>
      <c r="B145" s="112" t="s">
        <v>9</v>
      </c>
      <c r="C145" s="112" t="s">
        <v>12</v>
      </c>
      <c r="D145" s="112" t="s">
        <v>12</v>
      </c>
      <c r="E145" s="112" t="s">
        <v>126</v>
      </c>
      <c r="F145" s="112" t="s">
        <v>63</v>
      </c>
      <c r="G145" s="112" t="s">
        <v>32</v>
      </c>
      <c r="H145" s="112"/>
      <c r="I145" s="116">
        <v>30153.61</v>
      </c>
      <c r="J145" s="117">
        <v>0</v>
      </c>
      <c r="K145" s="116">
        <f>I145-J145</f>
        <v>30153.61</v>
      </c>
      <c r="L145" s="131"/>
      <c r="M145" s="182"/>
      <c r="N145" s="183"/>
      <c r="O145" s="119">
        <f t="shared" si="75"/>
        <v>0</v>
      </c>
      <c r="P145" s="120">
        <f t="shared" si="65"/>
        <v>0</v>
      </c>
      <c r="Q145" s="323"/>
      <c r="R145" s="3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" customFormat="1" ht="60" hidden="1" customHeight="1" x14ac:dyDescent="0.25">
      <c r="A146" s="199" t="s">
        <v>148</v>
      </c>
      <c r="B146" s="104" t="s">
        <v>9</v>
      </c>
      <c r="C146" s="104" t="s">
        <v>12</v>
      </c>
      <c r="D146" s="104" t="s">
        <v>85</v>
      </c>
      <c r="E146" s="104" t="s">
        <v>147</v>
      </c>
      <c r="F146" s="104"/>
      <c r="G146" s="104"/>
      <c r="H146" s="104"/>
      <c r="I146" s="106">
        <f>I147</f>
        <v>0</v>
      </c>
      <c r="J146" s="106">
        <f t="shared" ref="J146:K148" si="76">J147</f>
        <v>0</v>
      </c>
      <c r="K146" s="106">
        <f t="shared" si="76"/>
        <v>0</v>
      </c>
      <c r="L146" s="115"/>
      <c r="M146" s="195"/>
      <c r="N146" s="196"/>
      <c r="O146" s="20">
        <f>I146-J146-K146</f>
        <v>0</v>
      </c>
      <c r="P146" s="21" t="e">
        <f t="shared" si="65"/>
        <v>#DIV/0!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" customFormat="1" ht="27.75" hidden="1" customHeight="1" x14ac:dyDescent="0.25">
      <c r="A147" s="99" t="s">
        <v>43</v>
      </c>
      <c r="B147" s="112" t="s">
        <v>9</v>
      </c>
      <c r="C147" s="112" t="s">
        <v>12</v>
      </c>
      <c r="D147" s="112" t="s">
        <v>85</v>
      </c>
      <c r="E147" s="105" t="s">
        <v>147</v>
      </c>
      <c r="F147" s="112" t="s">
        <v>63</v>
      </c>
      <c r="G147" s="112" t="s">
        <v>44</v>
      </c>
      <c r="H147" s="112"/>
      <c r="I147" s="118">
        <v>0</v>
      </c>
      <c r="J147" s="158">
        <v>0</v>
      </c>
      <c r="K147" s="118">
        <f t="shared" ref="K147" si="77">I147-J147</f>
        <v>0</v>
      </c>
      <c r="L147" s="114"/>
      <c r="M147" s="188"/>
      <c r="N147" s="189"/>
      <c r="O147" s="119">
        <f t="shared" ref="O147" si="78">I147-J147-K147</f>
        <v>0</v>
      </c>
      <c r="P147" s="120" t="e">
        <f t="shared" si="65"/>
        <v>#DIV/0!</v>
      </c>
      <c r="Q147" s="323"/>
      <c r="R147" s="3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2" customFormat="1" ht="41.25" customHeight="1" x14ac:dyDescent="0.25">
      <c r="A148" s="199" t="s">
        <v>161</v>
      </c>
      <c r="B148" s="104" t="s">
        <v>9</v>
      </c>
      <c r="C148" s="104" t="s">
        <v>12</v>
      </c>
      <c r="D148" s="104" t="s">
        <v>85</v>
      </c>
      <c r="E148" s="104" t="s">
        <v>162</v>
      </c>
      <c r="F148" s="104" t="s">
        <v>63</v>
      </c>
      <c r="G148" s="104" t="s">
        <v>42</v>
      </c>
      <c r="H148" s="104"/>
      <c r="I148" s="106">
        <f>I149</f>
        <v>63000</v>
      </c>
      <c r="J148" s="106">
        <f t="shared" si="76"/>
        <v>63000</v>
      </c>
      <c r="K148" s="106">
        <f t="shared" si="76"/>
        <v>0</v>
      </c>
      <c r="L148" s="115"/>
      <c r="M148" s="195"/>
      <c r="N148" s="196"/>
      <c r="O148" s="20">
        <f>I148-J148-K148</f>
        <v>0</v>
      </c>
      <c r="P148" s="21">
        <f t="shared" si="65"/>
        <v>100</v>
      </c>
      <c r="Q148" s="321"/>
      <c r="R148" s="32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s="2" customFormat="1" ht="27.75" customHeight="1" x14ac:dyDescent="0.25">
      <c r="A149" s="99" t="s">
        <v>43</v>
      </c>
      <c r="B149" s="112" t="s">
        <v>9</v>
      </c>
      <c r="C149" s="112" t="s">
        <v>12</v>
      </c>
      <c r="D149" s="112" t="s">
        <v>85</v>
      </c>
      <c r="E149" s="113" t="s">
        <v>162</v>
      </c>
      <c r="F149" s="112" t="s">
        <v>63</v>
      </c>
      <c r="G149" s="112" t="s">
        <v>42</v>
      </c>
      <c r="H149" s="112"/>
      <c r="I149" s="116">
        <v>63000</v>
      </c>
      <c r="J149" s="117">
        <v>63000</v>
      </c>
      <c r="K149" s="118">
        <f t="shared" ref="K149" si="79">I149-J149</f>
        <v>0</v>
      </c>
      <c r="L149" s="114"/>
      <c r="M149" s="188"/>
      <c r="N149" s="189"/>
      <c r="O149" s="119">
        <f>I149-J149-K149</f>
        <v>0</v>
      </c>
      <c r="P149" s="120">
        <f t="shared" si="65"/>
        <v>100</v>
      </c>
      <c r="Q149" s="323"/>
      <c r="R149" s="3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22.5" customHeight="1" x14ac:dyDescent="0.3">
      <c r="A150" s="333" t="s">
        <v>71</v>
      </c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5"/>
      <c r="Q150" s="336"/>
      <c r="R150" s="337"/>
    </row>
    <row r="151" spans="1:50" ht="78" x14ac:dyDescent="0.25">
      <c r="A151" s="51" t="s">
        <v>8</v>
      </c>
      <c r="B151" s="52" t="s">
        <v>9</v>
      </c>
      <c r="C151" s="52"/>
      <c r="D151" s="52"/>
      <c r="E151" s="52"/>
      <c r="F151" s="52"/>
      <c r="G151" s="52"/>
      <c r="H151" s="52"/>
      <c r="I151" s="53">
        <f>I152+I163+I159+I167+I169+I174+I177+I180+I155+I157</f>
        <v>17139524.57</v>
      </c>
      <c r="J151" s="53">
        <f>J152+J163+J159+J169+J174+J167+J177+J180+J155+J157</f>
        <v>6159122.4199999999</v>
      </c>
      <c r="K151" s="53">
        <f>K152+K163+K159+K167+K169+K174+K177+K180+K155+K157</f>
        <v>10980402.150000002</v>
      </c>
      <c r="L151" s="53" t="e">
        <f>L152+L163</f>
        <v>#REF!</v>
      </c>
      <c r="M151" s="53" t="e">
        <f>M152+M163</f>
        <v>#REF!</v>
      </c>
      <c r="N151" s="53" t="e">
        <f>N152+N163</f>
        <v>#REF!</v>
      </c>
      <c r="O151" s="53">
        <f>I151-J151-K151</f>
        <v>0</v>
      </c>
      <c r="P151" s="53">
        <f>P152+P163</f>
        <v>88.750736557492587</v>
      </c>
      <c r="Q151" s="331"/>
      <c r="R151" s="331"/>
    </row>
    <row r="152" spans="1:50" ht="24" customHeight="1" x14ac:dyDescent="0.25">
      <c r="A152" s="173" t="s">
        <v>11</v>
      </c>
      <c r="B152" s="8" t="s">
        <v>9</v>
      </c>
      <c r="C152" s="8" t="s">
        <v>12</v>
      </c>
      <c r="D152" s="8"/>
      <c r="E152" s="8"/>
      <c r="F152" s="8"/>
      <c r="G152" s="8"/>
      <c r="H152" s="8"/>
      <c r="I152" s="9">
        <f>I153</f>
        <v>248300</v>
      </c>
      <c r="J152" s="9">
        <f t="shared" ref="J152:N152" si="80">J153</f>
        <v>133483.96</v>
      </c>
      <c r="K152" s="9">
        <f t="shared" ref="K152:K158" si="81">I152-J152</f>
        <v>114816.04000000001</v>
      </c>
      <c r="L152" s="9" t="e">
        <f t="shared" si="80"/>
        <v>#REF!</v>
      </c>
      <c r="M152" s="9">
        <f t="shared" si="80"/>
        <v>0</v>
      </c>
      <c r="N152" s="9">
        <f t="shared" si="80"/>
        <v>0</v>
      </c>
      <c r="O152" s="9">
        <f t="shared" ref="O152:O172" si="82">I152-J152-K152</f>
        <v>0</v>
      </c>
      <c r="P152" s="12">
        <f t="shared" ref="P152:P161" si="83">J152/I152*100</f>
        <v>53.759146194120014</v>
      </c>
      <c r="Q152" s="331"/>
      <c r="R152" s="331"/>
    </row>
    <row r="153" spans="1:50" ht="102.75" customHeight="1" x14ac:dyDescent="0.25">
      <c r="A153" s="190" t="s">
        <v>153</v>
      </c>
      <c r="B153" s="41" t="s">
        <v>9</v>
      </c>
      <c r="C153" s="41" t="s">
        <v>12</v>
      </c>
      <c r="D153" s="41" t="s">
        <v>14</v>
      </c>
      <c r="E153" s="41" t="s">
        <v>72</v>
      </c>
      <c r="F153" s="41"/>
      <c r="G153" s="41"/>
      <c r="H153" s="41"/>
      <c r="I153" s="56">
        <f>I154</f>
        <v>248300</v>
      </c>
      <c r="J153" s="55">
        <f>J154</f>
        <v>133483.96</v>
      </c>
      <c r="K153" s="55">
        <f t="shared" si="81"/>
        <v>114816.04000000001</v>
      </c>
      <c r="L153" s="18" t="e">
        <f>L154</f>
        <v>#REF!</v>
      </c>
      <c r="M153" s="186"/>
      <c r="N153" s="187"/>
      <c r="O153" s="20">
        <f t="shared" si="82"/>
        <v>0</v>
      </c>
      <c r="P153" s="21">
        <f t="shared" si="83"/>
        <v>53.759146194120014</v>
      </c>
      <c r="Q153" s="331"/>
      <c r="R153" s="331"/>
      <c r="S153" s="15"/>
    </row>
    <row r="154" spans="1:50" ht="18.75" x14ac:dyDescent="0.25">
      <c r="A154" s="99" t="s">
        <v>113</v>
      </c>
      <c r="B154" s="22" t="s">
        <v>9</v>
      </c>
      <c r="C154" s="22" t="s">
        <v>12</v>
      </c>
      <c r="D154" s="22" t="s">
        <v>14</v>
      </c>
      <c r="E154" s="43" t="s">
        <v>72</v>
      </c>
      <c r="F154" s="22" t="s">
        <v>63</v>
      </c>
      <c r="G154" s="22" t="s">
        <v>114</v>
      </c>
      <c r="H154" s="22"/>
      <c r="I154" s="23">
        <v>248300</v>
      </c>
      <c r="J154" s="34">
        <v>133483.96</v>
      </c>
      <c r="K154" s="34">
        <f t="shared" si="81"/>
        <v>114816.04000000001</v>
      </c>
      <c r="L154" s="24" t="e">
        <f>#REF!</f>
        <v>#REF!</v>
      </c>
      <c r="M154" s="184"/>
      <c r="N154" s="185"/>
      <c r="O154" s="25">
        <f t="shared" si="82"/>
        <v>0</v>
      </c>
      <c r="P154" s="26">
        <f t="shared" si="83"/>
        <v>53.759146194120014</v>
      </c>
      <c r="Q154" s="331"/>
      <c r="R154" s="331"/>
      <c r="Z154" s="15"/>
      <c r="AA154" s="15"/>
      <c r="AB154" s="15"/>
      <c r="AC154" s="15"/>
      <c r="AD154" s="15"/>
    </row>
    <row r="155" spans="1:50" ht="131.25" customHeight="1" x14ac:dyDescent="0.25">
      <c r="A155" s="190" t="s">
        <v>154</v>
      </c>
      <c r="B155" s="41" t="s">
        <v>9</v>
      </c>
      <c r="C155" s="41" t="s">
        <v>12</v>
      </c>
      <c r="D155" s="41" t="s">
        <v>14</v>
      </c>
      <c r="E155" s="41" t="s">
        <v>159</v>
      </c>
      <c r="F155" s="41"/>
      <c r="G155" s="41"/>
      <c r="H155" s="41"/>
      <c r="I155" s="56">
        <f>I156</f>
        <v>477400</v>
      </c>
      <c r="J155" s="55">
        <f>J156</f>
        <v>121834.76</v>
      </c>
      <c r="K155" s="55">
        <f t="shared" si="81"/>
        <v>355565.24</v>
      </c>
      <c r="L155" s="18" t="e">
        <f>L156</f>
        <v>#REF!</v>
      </c>
      <c r="M155" s="186"/>
      <c r="N155" s="187"/>
      <c r="O155" s="20">
        <f t="shared" si="82"/>
        <v>0</v>
      </c>
      <c r="P155" s="21">
        <f t="shared" si="83"/>
        <v>25.520477586929196</v>
      </c>
      <c r="Q155" s="331"/>
      <c r="R155" s="331"/>
      <c r="S155" s="15"/>
    </row>
    <row r="156" spans="1:50" ht="18.75" x14ac:dyDescent="0.25">
      <c r="A156" s="99" t="s">
        <v>113</v>
      </c>
      <c r="B156" s="22" t="s">
        <v>9</v>
      </c>
      <c r="C156" s="22" t="s">
        <v>12</v>
      </c>
      <c r="D156" s="22" t="s">
        <v>14</v>
      </c>
      <c r="E156" s="43" t="s">
        <v>159</v>
      </c>
      <c r="F156" s="22" t="s">
        <v>63</v>
      </c>
      <c r="G156" s="22" t="s">
        <v>114</v>
      </c>
      <c r="H156" s="22"/>
      <c r="I156" s="23">
        <v>477400</v>
      </c>
      <c r="J156" s="34">
        <v>121834.76</v>
      </c>
      <c r="K156" s="34">
        <f t="shared" si="81"/>
        <v>355565.24</v>
      </c>
      <c r="L156" s="24" t="e">
        <f>#REF!</f>
        <v>#REF!</v>
      </c>
      <c r="M156" s="184"/>
      <c r="N156" s="185"/>
      <c r="O156" s="25">
        <f t="shared" si="82"/>
        <v>0</v>
      </c>
      <c r="P156" s="26">
        <f t="shared" si="83"/>
        <v>25.520477586929196</v>
      </c>
      <c r="Q156" s="331"/>
      <c r="R156" s="331"/>
      <c r="Z156" s="15"/>
      <c r="AA156" s="15"/>
      <c r="AB156" s="15"/>
      <c r="AC156" s="15"/>
      <c r="AD156" s="15"/>
    </row>
    <row r="157" spans="1:50" ht="117.75" customHeight="1" x14ac:dyDescent="0.25">
      <c r="A157" s="190" t="s">
        <v>154</v>
      </c>
      <c r="B157" s="41" t="s">
        <v>9</v>
      </c>
      <c r="C157" s="41" t="s">
        <v>12</v>
      </c>
      <c r="D157" s="41" t="s">
        <v>14</v>
      </c>
      <c r="E157" s="41" t="s">
        <v>160</v>
      </c>
      <c r="F157" s="41"/>
      <c r="G157" s="41"/>
      <c r="H157" s="41"/>
      <c r="I157" s="56">
        <f>I158</f>
        <v>4563328.57</v>
      </c>
      <c r="J157" s="55">
        <f>J158</f>
        <v>1142281.9099999999</v>
      </c>
      <c r="K157" s="55">
        <f t="shared" si="81"/>
        <v>3421046.66</v>
      </c>
      <c r="L157" s="18" t="e">
        <f>L158</f>
        <v>#REF!</v>
      </c>
      <c r="M157" s="186"/>
      <c r="N157" s="187"/>
      <c r="O157" s="20">
        <f t="shared" si="82"/>
        <v>0</v>
      </c>
      <c r="P157" s="21">
        <f t="shared" si="83"/>
        <v>25.031769956464032</v>
      </c>
      <c r="Q157" s="331"/>
      <c r="R157" s="331"/>
      <c r="S157" s="15"/>
    </row>
    <row r="158" spans="1:50" ht="18.75" x14ac:dyDescent="0.25">
      <c r="A158" s="99" t="s">
        <v>113</v>
      </c>
      <c r="B158" s="22" t="s">
        <v>9</v>
      </c>
      <c r="C158" s="22" t="s">
        <v>12</v>
      </c>
      <c r="D158" s="22" t="s">
        <v>14</v>
      </c>
      <c r="E158" s="43" t="s">
        <v>160</v>
      </c>
      <c r="F158" s="22" t="s">
        <v>22</v>
      </c>
      <c r="G158" s="22" t="s">
        <v>114</v>
      </c>
      <c r="H158" s="22"/>
      <c r="I158" s="23">
        <v>4563328.57</v>
      </c>
      <c r="J158" s="34">
        <v>1142281.9099999999</v>
      </c>
      <c r="K158" s="34">
        <f t="shared" si="81"/>
        <v>3421046.66</v>
      </c>
      <c r="L158" s="24" t="e">
        <f>#REF!</f>
        <v>#REF!</v>
      </c>
      <c r="M158" s="184"/>
      <c r="N158" s="185"/>
      <c r="O158" s="25">
        <f t="shared" si="82"/>
        <v>0</v>
      </c>
      <c r="P158" s="26">
        <f t="shared" si="83"/>
        <v>25.031769956464032</v>
      </c>
      <c r="Q158" s="331"/>
      <c r="R158" s="331"/>
      <c r="Z158" s="15"/>
      <c r="AA158" s="15"/>
      <c r="AB158" s="15"/>
      <c r="AC158" s="15"/>
      <c r="AD158" s="15"/>
    </row>
    <row r="159" spans="1:50" ht="56.25" hidden="1" x14ac:dyDescent="0.25">
      <c r="A159" s="199" t="s">
        <v>143</v>
      </c>
      <c r="B159" s="104" t="s">
        <v>9</v>
      </c>
      <c r="C159" s="104" t="s">
        <v>12</v>
      </c>
      <c r="D159" s="104" t="s">
        <v>14</v>
      </c>
      <c r="E159" s="104" t="s">
        <v>138</v>
      </c>
      <c r="F159" s="104"/>
      <c r="G159" s="104"/>
      <c r="H159" s="104"/>
      <c r="I159" s="106">
        <f>I161+I160+I162</f>
        <v>0</v>
      </c>
      <c r="J159" s="106">
        <f>J161+J160+J162</f>
        <v>0</v>
      </c>
      <c r="K159" s="106">
        <f t="shared" ref="K159" si="84">K161</f>
        <v>0</v>
      </c>
      <c r="L159" s="115"/>
      <c r="M159" s="195"/>
      <c r="N159" s="196"/>
      <c r="O159" s="20">
        <f>I159-J159-K159</f>
        <v>0</v>
      </c>
      <c r="P159" s="21" t="e">
        <f t="shared" si="83"/>
        <v>#DIV/0!</v>
      </c>
      <c r="Q159" s="331"/>
      <c r="R159" s="331"/>
      <c r="Z159" s="15"/>
      <c r="AA159" s="15"/>
      <c r="AB159" s="15"/>
      <c r="AC159" s="15"/>
      <c r="AD159" s="15"/>
    </row>
    <row r="160" spans="1:50" ht="18.75" hidden="1" x14ac:dyDescent="0.25">
      <c r="A160" s="200" t="s">
        <v>43</v>
      </c>
      <c r="B160" s="112" t="s">
        <v>9</v>
      </c>
      <c r="C160" s="112" t="s">
        <v>12</v>
      </c>
      <c r="D160" s="112" t="s">
        <v>14</v>
      </c>
      <c r="E160" s="113" t="s">
        <v>138</v>
      </c>
      <c r="F160" s="112" t="s">
        <v>63</v>
      </c>
      <c r="G160" s="112" t="s">
        <v>44</v>
      </c>
      <c r="H160" s="129"/>
      <c r="I160" s="118">
        <v>0</v>
      </c>
      <c r="J160" s="158">
        <v>0</v>
      </c>
      <c r="K160" s="116"/>
      <c r="L160" s="135"/>
      <c r="M160" s="182"/>
      <c r="N160" s="183"/>
      <c r="O160" s="119"/>
      <c r="P160" s="120"/>
      <c r="Q160" s="331"/>
      <c r="R160" s="331"/>
      <c r="Z160" s="15"/>
      <c r="AA160" s="15"/>
      <c r="AB160" s="15"/>
      <c r="AC160" s="15"/>
      <c r="AD160" s="15"/>
    </row>
    <row r="161" spans="1:50" ht="25.5" hidden="1" customHeight="1" x14ac:dyDescent="0.25">
      <c r="A161" s="99" t="s">
        <v>47</v>
      </c>
      <c r="B161" s="112" t="s">
        <v>9</v>
      </c>
      <c r="C161" s="112" t="s">
        <v>12</v>
      </c>
      <c r="D161" s="112" t="s">
        <v>14</v>
      </c>
      <c r="E161" s="113" t="s">
        <v>138</v>
      </c>
      <c r="F161" s="112" t="s">
        <v>63</v>
      </c>
      <c r="G161" s="112" t="s">
        <v>48</v>
      </c>
      <c r="H161" s="112"/>
      <c r="I161" s="118">
        <v>0</v>
      </c>
      <c r="J161" s="158">
        <v>0</v>
      </c>
      <c r="K161" s="118">
        <f t="shared" ref="K161:K173" si="85">I161-J161</f>
        <v>0</v>
      </c>
      <c r="L161" s="114"/>
      <c r="M161" s="188"/>
      <c r="N161" s="189"/>
      <c r="O161" s="119">
        <f t="shared" ref="O161" si="86">I161-J161-K161</f>
        <v>0</v>
      </c>
      <c r="P161" s="120" t="e">
        <f t="shared" si="83"/>
        <v>#DIV/0!</v>
      </c>
      <c r="Q161" s="331"/>
      <c r="R161" s="331"/>
      <c r="Z161" s="15"/>
      <c r="AA161" s="15"/>
      <c r="AB161" s="15"/>
      <c r="AC161" s="15"/>
      <c r="AD161" s="15"/>
    </row>
    <row r="162" spans="1:50" ht="25.5" hidden="1" customHeight="1" x14ac:dyDescent="0.25">
      <c r="A162" s="175" t="s">
        <v>109</v>
      </c>
      <c r="B162" s="112" t="s">
        <v>9</v>
      </c>
      <c r="C162" s="112" t="s">
        <v>12</v>
      </c>
      <c r="D162" s="112" t="s">
        <v>14</v>
      </c>
      <c r="E162" s="113" t="s">
        <v>138</v>
      </c>
      <c r="F162" s="112" t="s">
        <v>63</v>
      </c>
      <c r="G162" s="112" t="s">
        <v>104</v>
      </c>
      <c r="H162" s="112"/>
      <c r="I162" s="118">
        <v>0</v>
      </c>
      <c r="J162" s="158">
        <v>0</v>
      </c>
      <c r="K162" s="118"/>
      <c r="L162" s="114"/>
      <c r="M162" s="188"/>
      <c r="N162" s="189"/>
      <c r="O162" s="119"/>
      <c r="P162" s="120"/>
      <c r="Q162" s="331"/>
      <c r="R162" s="331"/>
      <c r="Z162" s="15"/>
      <c r="AA162" s="15"/>
      <c r="AB162" s="15"/>
      <c r="AC162" s="15"/>
      <c r="AD162" s="15"/>
    </row>
    <row r="163" spans="1:50" s="47" customFormat="1" ht="19.5" x14ac:dyDescent="0.35">
      <c r="A163" s="58" t="s">
        <v>75</v>
      </c>
      <c r="B163" s="59" t="s">
        <v>9</v>
      </c>
      <c r="C163" s="59" t="s">
        <v>76</v>
      </c>
      <c r="D163" s="59"/>
      <c r="E163" s="59"/>
      <c r="F163" s="59"/>
      <c r="G163" s="59"/>
      <c r="H163" s="59"/>
      <c r="I163" s="60">
        <f t="shared" ref="I163:J167" si="87">I164</f>
        <v>5202484</v>
      </c>
      <c r="J163" s="60">
        <f t="shared" si="87"/>
        <v>1820431.89</v>
      </c>
      <c r="K163" s="60">
        <f t="shared" si="85"/>
        <v>3382052.1100000003</v>
      </c>
      <c r="L163" s="60" t="e">
        <f>L164+#REF!</f>
        <v>#REF!</v>
      </c>
      <c r="M163" s="60" t="e">
        <f>M164+#REF!</f>
        <v>#REF!</v>
      </c>
      <c r="N163" s="60" t="e">
        <f>N164+#REF!</f>
        <v>#REF!</v>
      </c>
      <c r="O163" s="60">
        <f t="shared" si="82"/>
        <v>0</v>
      </c>
      <c r="P163" s="61">
        <f t="shared" ref="P163:P164" si="88">J163*100/I163</f>
        <v>34.991590363372573</v>
      </c>
      <c r="Q163" s="331"/>
      <c r="R163" s="331"/>
    </row>
    <row r="164" spans="1:50" ht="19.5" x14ac:dyDescent="0.35">
      <c r="A164" s="62" t="s">
        <v>77</v>
      </c>
      <c r="B164" s="63" t="s">
        <v>9</v>
      </c>
      <c r="C164" s="63" t="s">
        <v>76</v>
      </c>
      <c r="D164" s="63" t="s">
        <v>78</v>
      </c>
      <c r="E164" s="63"/>
      <c r="F164" s="63"/>
      <c r="G164" s="63"/>
      <c r="H164" s="63"/>
      <c r="I164" s="125">
        <f t="shared" si="87"/>
        <v>5202484</v>
      </c>
      <c r="J164" s="125">
        <f t="shared" si="87"/>
        <v>1820431.89</v>
      </c>
      <c r="K164" s="64">
        <f t="shared" si="85"/>
        <v>3382052.1100000003</v>
      </c>
      <c r="L164" s="64" t="e">
        <f t="shared" ref="L164:N164" si="89">L165</f>
        <v>#REF!</v>
      </c>
      <c r="M164" s="64">
        <f t="shared" si="89"/>
        <v>0</v>
      </c>
      <c r="N164" s="64">
        <f t="shared" si="89"/>
        <v>0</v>
      </c>
      <c r="O164" s="64">
        <f t="shared" si="82"/>
        <v>0</v>
      </c>
      <c r="P164" s="65">
        <f t="shared" si="88"/>
        <v>34.991590363372573</v>
      </c>
      <c r="Q164" s="331"/>
      <c r="R164" s="331"/>
    </row>
    <row r="165" spans="1:50" ht="135.75" customHeight="1" x14ac:dyDescent="0.25">
      <c r="A165" s="86" t="s">
        <v>79</v>
      </c>
      <c r="B165" s="41" t="s">
        <v>9</v>
      </c>
      <c r="C165" s="41" t="s">
        <v>76</v>
      </c>
      <c r="D165" s="41" t="s">
        <v>78</v>
      </c>
      <c r="E165" s="66">
        <v>7110175110</v>
      </c>
      <c r="F165" s="41"/>
      <c r="G165" s="41"/>
      <c r="H165" s="41"/>
      <c r="I165" s="17">
        <f t="shared" si="87"/>
        <v>5202484</v>
      </c>
      <c r="J165" s="17">
        <f t="shared" si="87"/>
        <v>1820431.89</v>
      </c>
      <c r="K165" s="17">
        <f t="shared" si="85"/>
        <v>3382052.1100000003</v>
      </c>
      <c r="L165" s="18" t="e">
        <f>L166</f>
        <v>#REF!</v>
      </c>
      <c r="M165" s="186"/>
      <c r="N165" s="187"/>
      <c r="O165" s="20">
        <f t="shared" si="82"/>
        <v>0</v>
      </c>
      <c r="P165" s="21">
        <f>J165/I165*100</f>
        <v>34.991590363372573</v>
      </c>
      <c r="Q165" s="331"/>
      <c r="R165" s="331"/>
    </row>
    <row r="166" spans="1:50" s="46" customFormat="1" ht="37.5" x14ac:dyDescent="0.25">
      <c r="A166" s="175" t="s">
        <v>93</v>
      </c>
      <c r="B166" s="22" t="s">
        <v>9</v>
      </c>
      <c r="C166" s="22" t="s">
        <v>76</v>
      </c>
      <c r="D166" s="22" t="s">
        <v>78</v>
      </c>
      <c r="E166" s="67">
        <v>7110175100</v>
      </c>
      <c r="F166" s="22" t="s">
        <v>63</v>
      </c>
      <c r="G166" s="22" t="s">
        <v>94</v>
      </c>
      <c r="H166" s="22"/>
      <c r="I166" s="23">
        <v>5202484</v>
      </c>
      <c r="J166" s="23">
        <v>1820431.89</v>
      </c>
      <c r="K166" s="23">
        <f t="shared" si="85"/>
        <v>3382052.1100000003</v>
      </c>
      <c r="L166" s="24" t="e">
        <f>#REF!</f>
        <v>#REF!</v>
      </c>
      <c r="M166" s="182"/>
      <c r="N166" s="183"/>
      <c r="O166" s="25">
        <f t="shared" si="82"/>
        <v>0</v>
      </c>
      <c r="P166" s="26">
        <f t="shared" ref="P166" si="90">J166/I166*100</f>
        <v>34.991590363372573</v>
      </c>
      <c r="Q166" s="331"/>
      <c r="R166" s="331"/>
      <c r="S166" s="1"/>
      <c r="T166" s="1"/>
      <c r="U166" s="1"/>
      <c r="V166" s="1"/>
      <c r="W166" s="1"/>
      <c r="X166" s="1"/>
      <c r="Y166" s="1"/>
      <c r="Z166" s="68"/>
      <c r="AA166" s="68"/>
      <c r="AB166" s="68"/>
      <c r="AC166" s="68"/>
      <c r="AD166" s="68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62.25" hidden="1" customHeight="1" x14ac:dyDescent="0.25">
      <c r="A167" s="40" t="s">
        <v>139</v>
      </c>
      <c r="B167" s="41" t="s">
        <v>9</v>
      </c>
      <c r="C167" s="41" t="s">
        <v>12</v>
      </c>
      <c r="D167" s="41" t="s">
        <v>14</v>
      </c>
      <c r="E167" s="66" t="s">
        <v>135</v>
      </c>
      <c r="F167" s="41"/>
      <c r="G167" s="41"/>
      <c r="H167" s="41"/>
      <c r="I167" s="17">
        <f t="shared" si="87"/>
        <v>0</v>
      </c>
      <c r="J167" s="17">
        <f t="shared" si="87"/>
        <v>0</v>
      </c>
      <c r="K167" s="17">
        <f t="shared" si="85"/>
        <v>0</v>
      </c>
      <c r="L167" s="18" t="e">
        <f>L168</f>
        <v>#REF!</v>
      </c>
      <c r="M167" s="186"/>
      <c r="N167" s="187"/>
      <c r="O167" s="20">
        <f t="shared" si="82"/>
        <v>0</v>
      </c>
      <c r="P167" s="21" t="e">
        <f>J167/I167*100</f>
        <v>#DIV/0!</v>
      </c>
      <c r="Q167" s="331"/>
      <c r="R167" s="331"/>
    </row>
    <row r="168" spans="1:50" s="46" customFormat="1" ht="18.75" hidden="1" x14ac:dyDescent="0.25">
      <c r="A168" s="99" t="s">
        <v>47</v>
      </c>
      <c r="B168" s="22" t="s">
        <v>9</v>
      </c>
      <c r="C168" s="16" t="s">
        <v>12</v>
      </c>
      <c r="D168" s="16" t="s">
        <v>14</v>
      </c>
      <c r="E168" s="134" t="s">
        <v>135</v>
      </c>
      <c r="F168" s="22" t="s">
        <v>63</v>
      </c>
      <c r="G168" s="22" t="s">
        <v>48</v>
      </c>
      <c r="H168" s="22"/>
      <c r="I168" s="35">
        <v>0</v>
      </c>
      <c r="J168" s="35">
        <v>0</v>
      </c>
      <c r="K168" s="23">
        <f t="shared" si="85"/>
        <v>0</v>
      </c>
      <c r="L168" s="24" t="e">
        <f>#REF!</f>
        <v>#REF!</v>
      </c>
      <c r="M168" s="182"/>
      <c r="N168" s="183"/>
      <c r="O168" s="25">
        <f t="shared" si="82"/>
        <v>0</v>
      </c>
      <c r="P168" s="26" t="e">
        <f t="shared" ref="P168" si="91">J168/I168*100</f>
        <v>#DIV/0!</v>
      </c>
      <c r="Q168" s="331"/>
      <c r="R168" s="331"/>
      <c r="S168" s="1"/>
      <c r="T168" s="1"/>
      <c r="U168" s="1"/>
      <c r="V168" s="1"/>
      <c r="W168" s="1"/>
      <c r="X168" s="1"/>
      <c r="Y168" s="1"/>
      <c r="Z168" s="68"/>
      <c r="AA168" s="68"/>
      <c r="AB168" s="68"/>
      <c r="AC168" s="68"/>
      <c r="AD168" s="68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62.25" hidden="1" customHeight="1" x14ac:dyDescent="0.25">
      <c r="A169" s="199" t="s">
        <v>148</v>
      </c>
      <c r="B169" s="41" t="s">
        <v>9</v>
      </c>
      <c r="C169" s="41" t="s">
        <v>12</v>
      </c>
      <c r="D169" s="41" t="s">
        <v>85</v>
      </c>
      <c r="E169" s="66">
        <v>7010470790</v>
      </c>
      <c r="F169" s="41"/>
      <c r="G169" s="41"/>
      <c r="H169" s="41"/>
      <c r="I169" s="17">
        <f>I172+I170+I171+I173</f>
        <v>0</v>
      </c>
      <c r="J169" s="17">
        <f>J172+J170+J171+J173</f>
        <v>0</v>
      </c>
      <c r="K169" s="17">
        <f t="shared" si="85"/>
        <v>0</v>
      </c>
      <c r="L169" s="18" t="e">
        <f>L172</f>
        <v>#REF!</v>
      </c>
      <c r="M169" s="186"/>
      <c r="N169" s="187"/>
      <c r="O169" s="20">
        <f t="shared" si="82"/>
        <v>0</v>
      </c>
      <c r="P169" s="21" t="e">
        <f>J169/I169*100</f>
        <v>#DIV/0!</v>
      </c>
      <c r="Q169" s="331"/>
      <c r="R169" s="331"/>
    </row>
    <row r="170" spans="1:50" ht="27" hidden="1" customHeight="1" x14ac:dyDescent="0.25">
      <c r="A170" s="200" t="s">
        <v>56</v>
      </c>
      <c r="B170" s="22" t="s">
        <v>9</v>
      </c>
      <c r="C170" s="22" t="s">
        <v>12</v>
      </c>
      <c r="D170" s="22" t="s">
        <v>85</v>
      </c>
      <c r="E170" s="67">
        <v>7010470790</v>
      </c>
      <c r="F170" s="22" t="s">
        <v>63</v>
      </c>
      <c r="G170" s="22" t="s">
        <v>38</v>
      </c>
      <c r="H170" s="22"/>
      <c r="I170" s="23"/>
      <c r="J170" s="23"/>
      <c r="K170" s="23">
        <f>I170-J170</f>
        <v>0</v>
      </c>
      <c r="L170" s="24"/>
      <c r="M170" s="182"/>
      <c r="N170" s="183"/>
      <c r="O170" s="25"/>
      <c r="P170" s="26"/>
      <c r="Q170" s="331"/>
      <c r="R170" s="331"/>
    </row>
    <row r="171" spans="1:50" ht="20.25" hidden="1" customHeight="1" x14ac:dyDescent="0.25">
      <c r="A171" s="200" t="s">
        <v>43</v>
      </c>
      <c r="B171" s="22" t="s">
        <v>9</v>
      </c>
      <c r="C171" s="22" t="s">
        <v>12</v>
      </c>
      <c r="D171" s="22" t="s">
        <v>85</v>
      </c>
      <c r="E171" s="67">
        <v>7010470790</v>
      </c>
      <c r="F171" s="22" t="s">
        <v>63</v>
      </c>
      <c r="G171" s="22" t="s">
        <v>44</v>
      </c>
      <c r="H171" s="22"/>
      <c r="I171" s="23"/>
      <c r="J171" s="23"/>
      <c r="K171" s="23">
        <f>I171-J171</f>
        <v>0</v>
      </c>
      <c r="L171" s="24"/>
      <c r="M171" s="182"/>
      <c r="N171" s="183"/>
      <c r="O171" s="25"/>
      <c r="P171" s="26"/>
      <c r="Q171" s="331"/>
      <c r="R171" s="331"/>
    </row>
    <row r="172" spans="1:50" s="2" customFormat="1" ht="24" hidden="1" customHeight="1" x14ac:dyDescent="0.25">
      <c r="A172" s="201" t="s">
        <v>47</v>
      </c>
      <c r="B172" s="112" t="s">
        <v>9</v>
      </c>
      <c r="C172" s="112" t="s">
        <v>12</v>
      </c>
      <c r="D172" s="112" t="s">
        <v>85</v>
      </c>
      <c r="E172" s="138">
        <v>7010470790</v>
      </c>
      <c r="F172" s="112" t="s">
        <v>63</v>
      </c>
      <c r="G172" s="112" t="s">
        <v>48</v>
      </c>
      <c r="H172" s="112"/>
      <c r="I172" s="116"/>
      <c r="J172" s="116"/>
      <c r="K172" s="116">
        <f t="shared" si="85"/>
        <v>0</v>
      </c>
      <c r="L172" s="136" t="e">
        <f>#REF!</f>
        <v>#REF!</v>
      </c>
      <c r="M172" s="182"/>
      <c r="N172" s="183"/>
      <c r="O172" s="119">
        <f t="shared" si="82"/>
        <v>0</v>
      </c>
      <c r="P172" s="120" t="e">
        <f t="shared" ref="P172:P174" si="92">J172/I172*100</f>
        <v>#DIV/0!</v>
      </c>
      <c r="Q172" s="332"/>
      <c r="R172" s="332"/>
      <c r="S172" s="1"/>
      <c r="T172" s="1"/>
      <c r="U172" s="1"/>
      <c r="V172" s="1"/>
      <c r="W172" s="1"/>
      <c r="X172" s="1"/>
      <c r="Y172" s="1"/>
      <c r="Z172" s="68"/>
      <c r="AA172" s="68"/>
      <c r="AB172" s="68"/>
      <c r="AC172" s="68"/>
      <c r="AD172" s="6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2" customFormat="1" ht="24" hidden="1" customHeight="1" x14ac:dyDescent="0.25">
      <c r="A173" s="175" t="s">
        <v>109</v>
      </c>
      <c r="B173" s="112" t="s">
        <v>9</v>
      </c>
      <c r="C173" s="112" t="s">
        <v>12</v>
      </c>
      <c r="D173" s="112" t="s">
        <v>85</v>
      </c>
      <c r="E173" s="138">
        <v>7010470790</v>
      </c>
      <c r="F173" s="112" t="s">
        <v>63</v>
      </c>
      <c r="G173" s="112" t="s">
        <v>104</v>
      </c>
      <c r="H173" s="22"/>
      <c r="I173" s="23"/>
      <c r="J173" s="23"/>
      <c r="K173" s="116">
        <f t="shared" si="85"/>
        <v>0</v>
      </c>
      <c r="L173" s="137"/>
      <c r="M173" s="221"/>
      <c r="N173" s="217"/>
      <c r="O173" s="119">
        <f>I173-J173-K173</f>
        <v>0</v>
      </c>
      <c r="P173" s="120" t="e">
        <f t="shared" si="92"/>
        <v>#DIV/0!</v>
      </c>
      <c r="Q173" s="332"/>
      <c r="R173" s="332"/>
      <c r="S173" s="1"/>
      <c r="T173" s="1"/>
      <c r="U173" s="1"/>
      <c r="V173" s="1"/>
      <c r="W173" s="1"/>
      <c r="X173" s="1"/>
      <c r="Y173" s="1"/>
      <c r="Z173" s="68"/>
      <c r="AA173" s="68"/>
      <c r="AB173" s="68"/>
      <c r="AC173" s="68"/>
      <c r="AD173" s="68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2" customFormat="1" ht="60" hidden="1" customHeight="1" x14ac:dyDescent="0.25">
      <c r="A174" s="199" t="s">
        <v>145</v>
      </c>
      <c r="B174" s="104" t="s">
        <v>9</v>
      </c>
      <c r="C174" s="104" t="s">
        <v>12</v>
      </c>
      <c r="D174" s="104" t="s">
        <v>12</v>
      </c>
      <c r="E174" s="104" t="s">
        <v>149</v>
      </c>
      <c r="F174" s="104"/>
      <c r="G174" s="104"/>
      <c r="H174" s="104"/>
      <c r="I174" s="106">
        <f>I175+I176</f>
        <v>0</v>
      </c>
      <c r="J174" s="106">
        <f>J176+J175</f>
        <v>0</v>
      </c>
      <c r="K174" s="106">
        <f>K176+K175</f>
        <v>0</v>
      </c>
      <c r="L174" s="115"/>
      <c r="M174" s="195"/>
      <c r="N174" s="196"/>
      <c r="O174" s="20">
        <f>I174-J174-K174</f>
        <v>0</v>
      </c>
      <c r="P174" s="21" t="e">
        <f t="shared" si="92"/>
        <v>#DIV/0!</v>
      </c>
      <c r="Q174" s="321"/>
      <c r="R174" s="32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33" hidden="1" customHeight="1" x14ac:dyDescent="0.25">
      <c r="A175" s="194" t="s">
        <v>27</v>
      </c>
      <c r="B175" s="112" t="s">
        <v>9</v>
      </c>
      <c r="C175" s="112" t="s">
        <v>12</v>
      </c>
      <c r="D175" s="112" t="s">
        <v>12</v>
      </c>
      <c r="E175" s="112" t="s">
        <v>149</v>
      </c>
      <c r="F175" s="112" t="s">
        <v>63</v>
      </c>
      <c r="G175" s="112" t="s">
        <v>28</v>
      </c>
      <c r="H175" s="129"/>
      <c r="I175" s="116"/>
      <c r="J175" s="117"/>
      <c r="K175" s="130">
        <f>I175-J175</f>
        <v>0</v>
      </c>
      <c r="L175" s="131"/>
      <c r="M175" s="184"/>
      <c r="N175" s="185"/>
      <c r="O175" s="132"/>
      <c r="P175" s="133"/>
      <c r="Q175" s="325"/>
      <c r="R175" s="326"/>
    </row>
    <row r="176" spans="1:50" s="2" customFormat="1" ht="27.75" hidden="1" customHeight="1" x14ac:dyDescent="0.25">
      <c r="A176" s="175" t="s">
        <v>31</v>
      </c>
      <c r="B176" s="112" t="s">
        <v>9</v>
      </c>
      <c r="C176" s="112" t="s">
        <v>12</v>
      </c>
      <c r="D176" s="112" t="s">
        <v>12</v>
      </c>
      <c r="E176" s="112" t="s">
        <v>149</v>
      </c>
      <c r="F176" s="112" t="s">
        <v>63</v>
      </c>
      <c r="G176" s="112" t="s">
        <v>32</v>
      </c>
      <c r="H176" s="112"/>
      <c r="I176" s="116"/>
      <c r="J176" s="117"/>
      <c r="K176" s="116">
        <f>I176-J176</f>
        <v>0</v>
      </c>
      <c r="L176" s="131"/>
      <c r="M176" s="182"/>
      <c r="N176" s="183"/>
      <c r="O176" s="119">
        <f t="shared" ref="O176" si="93">I176-J176-K176</f>
        <v>0</v>
      </c>
      <c r="P176" s="120" t="e">
        <f t="shared" ref="P176:P182" si="94">J176/I176*100</f>
        <v>#DIV/0!</v>
      </c>
      <c r="Q176" s="323"/>
      <c r="R176" s="32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60" customHeight="1" x14ac:dyDescent="0.25">
      <c r="A177" s="199" t="s">
        <v>156</v>
      </c>
      <c r="B177" s="104" t="s">
        <v>9</v>
      </c>
      <c r="C177" s="104" t="s">
        <v>12</v>
      </c>
      <c r="D177" s="104" t="s">
        <v>14</v>
      </c>
      <c r="E177" s="104" t="s">
        <v>157</v>
      </c>
      <c r="F177" s="104"/>
      <c r="G177" s="104"/>
      <c r="H177" s="104"/>
      <c r="I177" s="106">
        <f>I178+I179</f>
        <v>6358968</v>
      </c>
      <c r="J177" s="106">
        <f>J179+J178</f>
        <v>2810856.81</v>
      </c>
      <c r="K177" s="106">
        <f>K179+K178</f>
        <v>3548111.1900000004</v>
      </c>
      <c r="L177" s="115"/>
      <c r="M177" s="195"/>
      <c r="N177" s="196"/>
      <c r="O177" s="20">
        <f>I177-J177-K177</f>
        <v>0</v>
      </c>
      <c r="P177" s="21">
        <f t="shared" si="94"/>
        <v>44.203034360292428</v>
      </c>
      <c r="Q177" s="321"/>
      <c r="R177" s="32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33" customHeight="1" x14ac:dyDescent="0.25">
      <c r="A178" s="194" t="s">
        <v>27</v>
      </c>
      <c r="B178" s="112" t="s">
        <v>9</v>
      </c>
      <c r="C178" s="112" t="s">
        <v>12</v>
      </c>
      <c r="D178" s="112" t="s">
        <v>14</v>
      </c>
      <c r="E178" s="112" t="s">
        <v>157</v>
      </c>
      <c r="F178" s="112" t="s">
        <v>63</v>
      </c>
      <c r="G178" s="112" t="s">
        <v>28</v>
      </c>
      <c r="H178" s="129"/>
      <c r="I178" s="116">
        <v>4884000</v>
      </c>
      <c r="J178" s="117">
        <v>2337494.38</v>
      </c>
      <c r="K178" s="116">
        <f>I178-J178</f>
        <v>2546505.62</v>
      </c>
      <c r="L178" s="131"/>
      <c r="M178" s="184"/>
      <c r="N178" s="185"/>
      <c r="O178" s="119">
        <f t="shared" ref="O178:O179" si="95">I178-J178-K178</f>
        <v>0</v>
      </c>
      <c r="P178" s="120">
        <f t="shared" si="94"/>
        <v>47.86024529074529</v>
      </c>
      <c r="Q178" s="325"/>
      <c r="R178" s="326"/>
    </row>
    <row r="179" spans="1:50" s="2" customFormat="1" ht="27.75" customHeight="1" x14ac:dyDescent="0.25">
      <c r="A179" s="175" t="s">
        <v>31</v>
      </c>
      <c r="B179" s="112" t="s">
        <v>9</v>
      </c>
      <c r="C179" s="112" t="s">
        <v>12</v>
      </c>
      <c r="D179" s="112" t="s">
        <v>14</v>
      </c>
      <c r="E179" s="112" t="s">
        <v>157</v>
      </c>
      <c r="F179" s="112" t="s">
        <v>63</v>
      </c>
      <c r="G179" s="112" t="s">
        <v>32</v>
      </c>
      <c r="H179" s="112"/>
      <c r="I179" s="116">
        <v>1474968</v>
      </c>
      <c r="J179" s="117">
        <v>473362.43</v>
      </c>
      <c r="K179" s="116">
        <f>I179-J179</f>
        <v>1001605.5700000001</v>
      </c>
      <c r="L179" s="131"/>
      <c r="M179" s="182"/>
      <c r="N179" s="183"/>
      <c r="O179" s="119">
        <f t="shared" si="95"/>
        <v>0</v>
      </c>
      <c r="P179" s="120">
        <f t="shared" si="94"/>
        <v>32.09306439190545</v>
      </c>
      <c r="Q179" s="323"/>
      <c r="R179" s="32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s="2" customFormat="1" ht="60" customHeight="1" x14ac:dyDescent="0.25">
      <c r="A180" s="199" t="s">
        <v>156</v>
      </c>
      <c r="B180" s="104" t="s">
        <v>9</v>
      </c>
      <c r="C180" s="104" t="s">
        <v>12</v>
      </c>
      <c r="D180" s="104" t="s">
        <v>14</v>
      </c>
      <c r="E180" s="104" t="s">
        <v>158</v>
      </c>
      <c r="F180" s="104"/>
      <c r="G180" s="104"/>
      <c r="H180" s="104"/>
      <c r="I180" s="106">
        <f>I181+I182</f>
        <v>289044</v>
      </c>
      <c r="J180" s="106">
        <f>J182+J181</f>
        <v>130233.09</v>
      </c>
      <c r="K180" s="106">
        <f>K182+K181</f>
        <v>158810.91</v>
      </c>
      <c r="L180" s="115"/>
      <c r="M180" s="195"/>
      <c r="N180" s="196"/>
      <c r="O180" s="20">
        <f>I180-J180-K180</f>
        <v>0</v>
      </c>
      <c r="P180" s="21">
        <f t="shared" si="94"/>
        <v>45.056493129073772</v>
      </c>
      <c r="Q180" s="321"/>
      <c r="R180" s="32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33" customHeight="1" x14ac:dyDescent="0.25">
      <c r="A181" s="194" t="s">
        <v>27</v>
      </c>
      <c r="B181" s="112" t="s">
        <v>9</v>
      </c>
      <c r="C181" s="112" t="s">
        <v>12</v>
      </c>
      <c r="D181" s="112" t="s">
        <v>14</v>
      </c>
      <c r="E181" s="112" t="s">
        <v>158</v>
      </c>
      <c r="F181" s="112" t="s">
        <v>63</v>
      </c>
      <c r="G181" s="112" t="s">
        <v>28</v>
      </c>
      <c r="H181" s="129"/>
      <c r="I181" s="116">
        <v>222000</v>
      </c>
      <c r="J181" s="117">
        <v>109308.83</v>
      </c>
      <c r="K181" s="130">
        <f>I181-J181</f>
        <v>112691.17</v>
      </c>
      <c r="L181" s="131"/>
      <c r="M181" s="184"/>
      <c r="N181" s="185"/>
      <c r="O181" s="119">
        <f t="shared" ref="O181:O182" si="96">I181-J181-K181</f>
        <v>0</v>
      </c>
      <c r="P181" s="120">
        <f t="shared" si="94"/>
        <v>49.238211711711713</v>
      </c>
      <c r="Q181" s="325"/>
      <c r="R181" s="326"/>
    </row>
    <row r="182" spans="1:50" s="2" customFormat="1" ht="27.75" customHeight="1" x14ac:dyDescent="0.25">
      <c r="A182" s="175" t="s">
        <v>31</v>
      </c>
      <c r="B182" s="112" t="s">
        <v>9</v>
      </c>
      <c r="C182" s="112" t="s">
        <v>12</v>
      </c>
      <c r="D182" s="112" t="s">
        <v>14</v>
      </c>
      <c r="E182" s="112" t="s">
        <v>158</v>
      </c>
      <c r="F182" s="112" t="s">
        <v>63</v>
      </c>
      <c r="G182" s="112" t="s">
        <v>32</v>
      </c>
      <c r="H182" s="112"/>
      <c r="I182" s="116">
        <v>67044</v>
      </c>
      <c r="J182" s="117">
        <v>20924.259999999998</v>
      </c>
      <c r="K182" s="116">
        <f>I182-J182</f>
        <v>46119.740000000005</v>
      </c>
      <c r="L182" s="131"/>
      <c r="M182" s="182"/>
      <c r="N182" s="183"/>
      <c r="O182" s="119">
        <f t="shared" si="96"/>
        <v>0</v>
      </c>
      <c r="P182" s="120">
        <f t="shared" si="94"/>
        <v>31.209742855438215</v>
      </c>
      <c r="Q182" s="323"/>
      <c r="R182" s="32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9.5" customHeight="1" x14ac:dyDescent="0.25">
      <c r="A183" s="327" t="s">
        <v>80</v>
      </c>
      <c r="B183" s="328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9"/>
      <c r="Q183" s="330"/>
      <c r="R183" s="330"/>
    </row>
    <row r="184" spans="1:50" s="15" customFormat="1" ht="64.5" customHeight="1" x14ac:dyDescent="0.25">
      <c r="A184" s="202" t="s">
        <v>120</v>
      </c>
      <c r="B184" s="16" t="s">
        <v>81</v>
      </c>
      <c r="C184" s="16" t="s">
        <v>82</v>
      </c>
      <c r="D184" s="16" t="s">
        <v>82</v>
      </c>
      <c r="E184" s="16" t="s">
        <v>83</v>
      </c>
      <c r="F184" s="16" t="s">
        <v>81</v>
      </c>
      <c r="G184" s="16"/>
      <c r="H184" s="16"/>
      <c r="I184" s="17">
        <f>I185</f>
        <v>4268106.4000000004</v>
      </c>
      <c r="J184" s="17">
        <f>J185</f>
        <v>1601452.73</v>
      </c>
      <c r="K184" s="17">
        <f>I184-J184</f>
        <v>2666653.6700000004</v>
      </c>
      <c r="L184" s="17">
        <f t="shared" ref="L184:N184" si="97">L185</f>
        <v>0</v>
      </c>
      <c r="M184" s="17">
        <f t="shared" si="97"/>
        <v>0</v>
      </c>
      <c r="N184" s="17">
        <f t="shared" si="97"/>
        <v>0</v>
      </c>
      <c r="O184" s="20">
        <f t="shared" ref="O184:O185" si="98">I184-J184-K184</f>
        <v>0</v>
      </c>
      <c r="P184" s="21">
        <f>J184/I184*100</f>
        <v>37.521387236269462</v>
      </c>
      <c r="Q184" s="331"/>
      <c r="R184" s="331"/>
      <c r="S184" s="1"/>
      <c r="T184" s="1"/>
      <c r="U184" s="1"/>
      <c r="V184" s="1"/>
      <c r="W184" s="1"/>
      <c r="X184" s="1"/>
      <c r="Y184" s="1"/>
    </row>
    <row r="185" spans="1:50" s="15" customFormat="1" ht="18.75" customHeight="1" x14ac:dyDescent="0.25">
      <c r="A185" s="32" t="s">
        <v>113</v>
      </c>
      <c r="B185" s="22" t="s">
        <v>81</v>
      </c>
      <c r="C185" s="22" t="s">
        <v>82</v>
      </c>
      <c r="D185" s="22" t="s">
        <v>82</v>
      </c>
      <c r="E185" s="22" t="s">
        <v>83</v>
      </c>
      <c r="F185" s="22" t="s">
        <v>81</v>
      </c>
      <c r="G185" s="22" t="s">
        <v>114</v>
      </c>
      <c r="H185" s="22"/>
      <c r="I185" s="23">
        <v>4268106.4000000004</v>
      </c>
      <c r="J185" s="23">
        <v>1601452.73</v>
      </c>
      <c r="K185" s="23">
        <f>I185-J185</f>
        <v>2666653.6700000004</v>
      </c>
      <c r="L185" s="38"/>
      <c r="M185" s="29"/>
      <c r="N185" s="1"/>
      <c r="O185" s="25">
        <f t="shared" si="98"/>
        <v>0</v>
      </c>
      <c r="P185" s="26">
        <f>J185/I185*100</f>
        <v>37.521387236269462</v>
      </c>
      <c r="Q185" s="331"/>
      <c r="R185" s="331"/>
      <c r="S185" s="1"/>
      <c r="T185" s="1"/>
      <c r="U185" s="1"/>
      <c r="V185" s="1"/>
      <c r="W185" s="1"/>
      <c r="X185" s="1"/>
      <c r="Y185" s="1"/>
    </row>
    <row r="186" spans="1:50" ht="0.75" customHeight="1" x14ac:dyDescent="0.25">
      <c r="A186" s="70"/>
      <c r="B186" s="70"/>
      <c r="C186" s="70"/>
      <c r="D186" s="70"/>
      <c r="E186" s="70"/>
      <c r="F186" s="70"/>
      <c r="G186" s="70"/>
      <c r="H186" s="71"/>
      <c r="I186" s="126"/>
      <c r="J186" s="127"/>
      <c r="K186" s="72"/>
      <c r="L186" s="1"/>
      <c r="M186" s="1"/>
    </row>
    <row r="187" spans="1:50" ht="27.75" customHeight="1" x14ac:dyDescent="0.25">
      <c r="A187" s="77"/>
      <c r="B187" s="78"/>
      <c r="C187" s="78"/>
      <c r="D187" s="78"/>
      <c r="E187" s="78"/>
      <c r="F187" s="78"/>
      <c r="G187" s="1"/>
      <c r="H187" s="1"/>
      <c r="I187" s="1"/>
      <c r="J187" s="1"/>
      <c r="K187" s="1"/>
      <c r="L187" s="73"/>
      <c r="M187" s="74"/>
      <c r="N187" s="75"/>
      <c r="O187" s="75"/>
      <c r="P187" s="75"/>
    </row>
    <row r="188" spans="1:50" ht="40.5" customHeight="1" x14ac:dyDescent="0.25">
      <c r="A188" s="379" t="s">
        <v>181</v>
      </c>
      <c r="B188" s="379"/>
      <c r="C188" s="379"/>
      <c r="D188" s="379"/>
      <c r="E188" s="379"/>
      <c r="F188" s="379"/>
      <c r="G188" s="379"/>
      <c r="H188" s="80"/>
      <c r="I188" s="1"/>
      <c r="J188" s="1"/>
      <c r="K188" s="1"/>
      <c r="L188" s="73"/>
      <c r="M188" s="74"/>
      <c r="N188" s="75"/>
      <c r="O188" s="75"/>
      <c r="P188" s="75"/>
    </row>
    <row r="189" spans="1:50" ht="15" customHeight="1" x14ac:dyDescent="0.25">
      <c r="A189" s="379" t="s">
        <v>177</v>
      </c>
      <c r="B189" s="379"/>
      <c r="C189" s="379"/>
      <c r="D189" s="379"/>
      <c r="E189" s="379"/>
      <c r="F189" s="379"/>
      <c r="G189" s="379"/>
      <c r="H189" s="80"/>
      <c r="I189" s="1"/>
      <c r="J189" s="1"/>
      <c r="K189" s="1"/>
      <c r="L189" s="73"/>
      <c r="M189" s="74"/>
      <c r="N189" s="75"/>
      <c r="O189" s="75"/>
      <c r="P189" s="75"/>
    </row>
    <row r="190" spans="1:50" ht="18.75" x14ac:dyDescent="0.25">
      <c r="A190" s="83"/>
      <c r="B190" s="84"/>
      <c r="C190" s="84"/>
      <c r="D190" s="84"/>
      <c r="E190" s="84"/>
      <c r="F190" s="84"/>
      <c r="G190" s="1"/>
      <c r="H190" s="1"/>
      <c r="I190" s="1"/>
      <c r="J190" s="1"/>
      <c r="K190" s="1"/>
      <c r="L190" s="73"/>
      <c r="M190" s="74"/>
      <c r="N190" s="75"/>
      <c r="O190" s="75"/>
      <c r="P190" s="75"/>
    </row>
    <row r="191" spans="1:50" x14ac:dyDescent="0.25">
      <c r="A191" s="1"/>
      <c r="B191" s="1"/>
      <c r="C191" s="1"/>
      <c r="D191" s="1"/>
      <c r="E191" s="1"/>
      <c r="F191" s="1"/>
      <c r="L191" s="73"/>
      <c r="M191" s="74"/>
      <c r="N191" s="75"/>
      <c r="O191" s="75"/>
      <c r="P191" s="75"/>
    </row>
    <row r="192" spans="1:50" x14ac:dyDescent="0.25">
      <c r="A192" s="1"/>
      <c r="B192" s="1"/>
      <c r="C192" s="1"/>
      <c r="D192" s="1"/>
      <c r="E192" s="1"/>
      <c r="F192" s="1"/>
      <c r="L192" s="73"/>
      <c r="M192" s="74"/>
      <c r="N192" s="75"/>
      <c r="O192" s="75"/>
      <c r="P192" s="75"/>
    </row>
    <row r="193" spans="1:16" x14ac:dyDescent="0.25">
      <c r="A193" s="1"/>
      <c r="B193" s="1"/>
      <c r="C193" s="1"/>
      <c r="D193" s="1"/>
      <c r="E193" s="1"/>
      <c r="F193" s="1"/>
      <c r="L193" s="73"/>
      <c r="M193" s="74"/>
      <c r="N193" s="75"/>
      <c r="O193" s="75"/>
      <c r="P193" s="75"/>
    </row>
    <row r="194" spans="1:16" x14ac:dyDescent="0.25">
      <c r="A194" s="1"/>
      <c r="B194" s="1"/>
      <c r="C194" s="1"/>
      <c r="D194" s="1"/>
      <c r="E194" s="1"/>
      <c r="F194" s="1"/>
    </row>
    <row r="195" spans="1:16" x14ac:dyDescent="0.25">
      <c r="A195" s="1"/>
      <c r="B195" s="1"/>
      <c r="C195" s="1"/>
      <c r="D195" s="1"/>
      <c r="E195" s="1"/>
      <c r="F195" s="1"/>
      <c r="L195" s="1"/>
      <c r="M195" s="1"/>
    </row>
    <row r="196" spans="1:16" x14ac:dyDescent="0.25">
      <c r="A196" s="1"/>
      <c r="B196" s="1"/>
      <c r="C196" s="1"/>
      <c r="D196" s="1"/>
      <c r="E196" s="1"/>
      <c r="F196" s="1"/>
      <c r="L196" s="1"/>
      <c r="M196" s="1"/>
    </row>
    <row r="197" spans="1:16" x14ac:dyDescent="0.25">
      <c r="A197" s="1"/>
      <c r="B197" s="1"/>
      <c r="C197" s="1"/>
      <c r="D197" s="1"/>
      <c r="E197" s="1"/>
      <c r="F197" s="1"/>
      <c r="L197" s="1"/>
      <c r="M197" s="1"/>
    </row>
    <row r="198" spans="1:16" x14ac:dyDescent="0.25">
      <c r="A198" s="1"/>
      <c r="B198" s="1"/>
      <c r="C198" s="1"/>
      <c r="D198" s="1"/>
      <c r="E198" s="1"/>
      <c r="F198" s="1"/>
      <c r="L198" s="1"/>
      <c r="M198" s="1"/>
    </row>
    <row r="199" spans="1:16" x14ac:dyDescent="0.25">
      <c r="A199" s="1"/>
      <c r="B199" s="1"/>
      <c r="C199" s="1"/>
      <c r="D199" s="1"/>
      <c r="E199" s="1"/>
      <c r="F199" s="1"/>
    </row>
    <row r="200" spans="1:16" x14ac:dyDescent="0.25">
      <c r="A200" s="1"/>
      <c r="B200" s="1"/>
      <c r="C200" s="1"/>
      <c r="D200" s="1"/>
      <c r="E200" s="1"/>
      <c r="F200" s="1"/>
    </row>
    <row r="201" spans="1:16" x14ac:dyDescent="0.25">
      <c r="A201" s="1"/>
      <c r="B201" s="1"/>
      <c r="C201" s="1"/>
      <c r="D201" s="1"/>
      <c r="E201" s="1"/>
      <c r="F201" s="1"/>
    </row>
    <row r="202" spans="1:16" x14ac:dyDescent="0.25">
      <c r="A202" s="1"/>
      <c r="B202" s="1"/>
      <c r="C202" s="1"/>
      <c r="D202" s="1"/>
      <c r="E202" s="1"/>
      <c r="F202" s="1"/>
    </row>
    <row r="203" spans="1:16" x14ac:dyDescent="0.25">
      <c r="A203" s="1"/>
      <c r="B203" s="1"/>
      <c r="C203" s="1"/>
      <c r="D203" s="1"/>
      <c r="E203" s="1"/>
      <c r="F203" s="1"/>
    </row>
    <row r="204" spans="1:16" x14ac:dyDescent="0.25">
      <c r="A204" s="1"/>
      <c r="B204" s="1"/>
      <c r="C204" s="1"/>
      <c r="D204" s="1"/>
      <c r="E204" s="1"/>
      <c r="F204" s="1"/>
    </row>
    <row r="205" spans="1:16" x14ac:dyDescent="0.25">
      <c r="A205" s="1"/>
      <c r="B205" s="1"/>
      <c r="C205" s="1"/>
      <c r="D205" s="1"/>
      <c r="E205" s="1"/>
      <c r="F205" s="1"/>
    </row>
    <row r="206" spans="1:16" x14ac:dyDescent="0.25">
      <c r="A206" s="1"/>
      <c r="B206" s="1"/>
      <c r="C206" s="1"/>
      <c r="D206" s="1"/>
      <c r="E206" s="1"/>
      <c r="F206" s="1"/>
    </row>
    <row r="207" spans="1:16" x14ac:dyDescent="0.25">
      <c r="A207" s="1"/>
      <c r="B207" s="1"/>
      <c r="C207" s="1"/>
      <c r="D207" s="1"/>
      <c r="E207" s="1"/>
      <c r="F207" s="1"/>
    </row>
    <row r="208" spans="1:16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s="68" customFormat="1" x14ac:dyDescent="0.25">
      <c r="A210" s="1"/>
      <c r="B210" s="1"/>
      <c r="C210" s="1"/>
      <c r="D210" s="1"/>
      <c r="E210" s="1"/>
      <c r="F210" s="1"/>
      <c r="I210" s="128"/>
      <c r="J210" s="128"/>
      <c r="K210" s="76"/>
      <c r="L210" s="76"/>
      <c r="M210" s="2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68" customFormat="1" x14ac:dyDescent="0.25">
      <c r="A211" s="85"/>
      <c r="I211" s="128"/>
      <c r="J211" s="128"/>
      <c r="K211" s="76"/>
      <c r="L211" s="76"/>
      <c r="M211" s="2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68" customFormat="1" x14ac:dyDescent="0.25">
      <c r="A212" s="85"/>
      <c r="I212" s="128"/>
      <c r="J212" s="128"/>
      <c r="K212" s="76"/>
      <c r="L212" s="76"/>
      <c r="M212" s="2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68" customFormat="1" x14ac:dyDescent="0.25">
      <c r="A213" s="85"/>
      <c r="I213" s="128"/>
      <c r="J213" s="128"/>
      <c r="K213" s="76"/>
      <c r="L213" s="76"/>
      <c r="M213" s="2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68" customFormat="1" x14ac:dyDescent="0.25">
      <c r="A214" s="85"/>
      <c r="I214" s="128"/>
      <c r="J214" s="128"/>
      <c r="K214" s="76"/>
      <c r="L214" s="76"/>
      <c r="M214" s="2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68" customFormat="1" x14ac:dyDescent="0.25">
      <c r="A215" s="85"/>
      <c r="I215" s="128"/>
      <c r="J215" s="128"/>
      <c r="K215" s="76"/>
      <c r="L215" s="76"/>
      <c r="M215" s="2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68" customFormat="1" x14ac:dyDescent="0.25">
      <c r="A216" s="85"/>
      <c r="I216" s="128"/>
      <c r="J216" s="128"/>
      <c r="K216" s="76"/>
      <c r="L216" s="76"/>
      <c r="M216" s="2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s="68" customFormat="1" x14ac:dyDescent="0.25">
      <c r="A217" s="85"/>
      <c r="I217" s="128"/>
      <c r="J217" s="128"/>
      <c r="K217" s="76"/>
      <c r="L217" s="76"/>
      <c r="M217" s="2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68" customFormat="1" x14ac:dyDescent="0.25">
      <c r="A218" s="85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</sheetData>
  <mergeCells count="173">
    <mergeCell ref="Q184:R184"/>
    <mergeCell ref="Q185:R185"/>
    <mergeCell ref="A188:G188"/>
    <mergeCell ref="A189:G189"/>
    <mergeCell ref="Q172:R172"/>
    <mergeCell ref="Q173:R173"/>
    <mergeCell ref="Q174:R176"/>
    <mergeCell ref="Q177:R179"/>
    <mergeCell ref="Q180:R182"/>
    <mergeCell ref="A183:P183"/>
    <mergeCell ref="Q183:R183"/>
    <mergeCell ref="Q166:R166"/>
    <mergeCell ref="Q167:R167"/>
    <mergeCell ref="Q168:R168"/>
    <mergeCell ref="Q169:R169"/>
    <mergeCell ref="Q170:R170"/>
    <mergeCell ref="Q171:R171"/>
    <mergeCell ref="Q160:R160"/>
    <mergeCell ref="Q161:R161"/>
    <mergeCell ref="Q162:R162"/>
    <mergeCell ref="Q163:R163"/>
    <mergeCell ref="Q164:R164"/>
    <mergeCell ref="Q165:R165"/>
    <mergeCell ref="Q154:R154"/>
    <mergeCell ref="Q155:R155"/>
    <mergeCell ref="Q156:R156"/>
    <mergeCell ref="Q157:R157"/>
    <mergeCell ref="Q158:R158"/>
    <mergeCell ref="Q159:R159"/>
    <mergeCell ref="Q148:R149"/>
    <mergeCell ref="A150:P150"/>
    <mergeCell ref="Q150:R150"/>
    <mergeCell ref="Q151:R151"/>
    <mergeCell ref="Q152:R152"/>
    <mergeCell ref="Q153:R153"/>
    <mergeCell ref="Q136:R137"/>
    <mergeCell ref="Q139:R140"/>
    <mergeCell ref="Q141:R141"/>
    <mergeCell ref="Q142:R142"/>
    <mergeCell ref="Q143:R145"/>
    <mergeCell ref="Q146:R147"/>
    <mergeCell ref="Q125:R125"/>
    <mergeCell ref="Q127:R127"/>
    <mergeCell ref="Q128:R128"/>
    <mergeCell ref="Q129:R131"/>
    <mergeCell ref="Q132:R133"/>
    <mergeCell ref="Q134:R135"/>
    <mergeCell ref="Q119:R119"/>
    <mergeCell ref="Q120:R120"/>
    <mergeCell ref="Q121:R121"/>
    <mergeCell ref="Q122:R122"/>
    <mergeCell ref="Q123:R123"/>
    <mergeCell ref="Q124:R124"/>
    <mergeCell ref="Q113:R113"/>
    <mergeCell ref="Q114:R114"/>
    <mergeCell ref="Q115:R115"/>
    <mergeCell ref="Q116:R116"/>
    <mergeCell ref="Q117:R117"/>
    <mergeCell ref="Q118:R118"/>
    <mergeCell ref="Q107:R107"/>
    <mergeCell ref="Q108:R108"/>
    <mergeCell ref="Q109:R109"/>
    <mergeCell ref="Q110:R110"/>
    <mergeCell ref="Q111:R111"/>
    <mergeCell ref="Q112:R112"/>
    <mergeCell ref="Q102:R102"/>
    <mergeCell ref="Q103:R103"/>
    <mergeCell ref="Q104:R104"/>
    <mergeCell ref="Q105:R105"/>
    <mergeCell ref="A106:P106"/>
    <mergeCell ref="Q106:R106"/>
    <mergeCell ref="Q96:R96"/>
    <mergeCell ref="Q97:R97"/>
    <mergeCell ref="Q98:R98"/>
    <mergeCell ref="Q99:R99"/>
    <mergeCell ref="Q100:R100"/>
    <mergeCell ref="Q101:R101"/>
    <mergeCell ref="Q90:R90"/>
    <mergeCell ref="Q91:R91"/>
    <mergeCell ref="Q92:R92"/>
    <mergeCell ref="Q93:R93"/>
    <mergeCell ref="Q94:R94"/>
    <mergeCell ref="Q95:R95"/>
    <mergeCell ref="Q84:R84"/>
    <mergeCell ref="Q85:R85"/>
    <mergeCell ref="Q86:R86"/>
    <mergeCell ref="Q87:R87"/>
    <mergeCell ref="Q88:R88"/>
    <mergeCell ref="Q89:R89"/>
    <mergeCell ref="Q78:R78"/>
    <mergeCell ref="Q79:R79"/>
    <mergeCell ref="Q80:R80"/>
    <mergeCell ref="Q81:R81"/>
    <mergeCell ref="Q82:R82"/>
    <mergeCell ref="Q83:R83"/>
    <mergeCell ref="Q72:R72"/>
    <mergeCell ref="Q73:R73"/>
    <mergeCell ref="Q74:R74"/>
    <mergeCell ref="Q75:R75"/>
    <mergeCell ref="Q76:R76"/>
    <mergeCell ref="Q77:R77"/>
    <mergeCell ref="Q57:R57"/>
    <mergeCell ref="Q58:R58"/>
    <mergeCell ref="Q59:R59"/>
    <mergeCell ref="Q60:R60"/>
    <mergeCell ref="Q61:R70"/>
    <mergeCell ref="A71:P71"/>
    <mergeCell ref="Q71:R71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</mergeCells>
  <printOptions horizontalCentered="1"/>
  <pageMargins left="3.937007874015748E-2" right="3.937007874015748E-2" top="0.15748031496062992" bottom="0" header="0.11811023622047245" footer="0"/>
  <pageSetup paperSize="9" scale="55" fitToHeight="7" orientation="landscape" r:id="rId1"/>
  <rowBreaks count="2" manualBreakCount="2">
    <brk id="37" max="17" man="1"/>
    <brk id="6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221"/>
  <sheetViews>
    <sheetView showWhiteSpace="0" view="pageBreakPreview" zoomScale="69" zoomScaleNormal="75" zoomScaleSheetLayoutView="69" workbookViewId="0">
      <pane ySplit="5" topLeftCell="A6" activePane="bottomLeft" state="frozen"/>
      <selection pane="bottomLeft" activeCell="P3" sqref="P3:P4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9.140625" style="1"/>
    <col min="20" max="20" width="24.7109375" style="1" bestFit="1" customWidth="1"/>
    <col min="21" max="21" width="9.140625" style="1"/>
    <col min="22" max="22" width="23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184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185</v>
      </c>
      <c r="K3" s="353" t="s">
        <v>6</v>
      </c>
      <c r="L3" s="169"/>
      <c r="M3" s="170"/>
      <c r="N3" s="169"/>
      <c r="O3" s="353" t="s">
        <v>7</v>
      </c>
      <c r="P3" s="355" t="s">
        <v>187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>I8+I72+I107+I151+I184+I188</f>
        <v>125707171.21000001</v>
      </c>
      <c r="J6" s="160">
        <f>J8+J72+J107+J151+J184+J188</f>
        <v>69116688.060000002</v>
      </c>
      <c r="K6" s="160">
        <f>K8+K72+K107+K151+K184+K188</f>
        <v>56590483.150000006</v>
      </c>
      <c r="L6" s="160" t="e">
        <f t="shared" ref="L6:N6" si="0">L8+L72+L107+L151+L184</f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0</v>
      </c>
      <c r="P6" s="163">
        <f>J6/I6*100</f>
        <v>54.982295277758794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I9+I61+I69</f>
        <v>24532970.259999998</v>
      </c>
      <c r="J8" s="9">
        <f>J9+J61+J69</f>
        <v>11653880.08</v>
      </c>
      <c r="K8" s="9">
        <f>K9+K61+K69</f>
        <v>12879090.180000002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>I8-J8-K8</f>
        <v>0</v>
      </c>
      <c r="P8" s="12">
        <f>J8/I8*100</f>
        <v>47.502931591618868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</f>
        <v>24304157.369999997</v>
      </c>
      <c r="J9" s="157">
        <f>J10+J41+J46+J48+J50+J53+J59+J56</f>
        <v>11425068.08</v>
      </c>
      <c r="K9" s="157">
        <f>K10+K41+K46+K48+K50+K53+K59+K56</f>
        <v>12879089.290000001</v>
      </c>
      <c r="L9" s="14" t="e">
        <f>L10+L41+L46+L48+L50+L53+L59+L56+L61+L69+#REF!</f>
        <v>#REF!</v>
      </c>
      <c r="M9" s="14" t="e">
        <f>M10+M41+M46+M48+M50+M53+M59+M56+M61+M69+#REF!</f>
        <v>#REF!</v>
      </c>
      <c r="N9" s="14" t="e">
        <f>N10+N41+N46+N48+N50+N53+N59+N56+N61+N69+#REF!</f>
        <v>#REF!</v>
      </c>
      <c r="O9" s="95">
        <f>I9-J9-K9</f>
        <v>0</v>
      </c>
      <c r="P9" s="96">
        <f t="shared" ref="P9:P60" si="1">J9/I9*100</f>
        <v>47.008698578057313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 t="shared" ref="I10:N12" si="2">I11</f>
        <v>10906429.089999998</v>
      </c>
      <c r="J10" s="17">
        <f t="shared" si="2"/>
        <v>5160101.7299999995</v>
      </c>
      <c r="K10" s="17">
        <f t="shared" si="2"/>
        <v>5746327.3600000003</v>
      </c>
      <c r="L10" s="17" t="e">
        <f t="shared" si="2"/>
        <v>#REF!</v>
      </c>
      <c r="M10" s="17">
        <f t="shared" si="2"/>
        <v>0</v>
      </c>
      <c r="N10" s="17">
        <f t="shared" si="2"/>
        <v>0</v>
      </c>
      <c r="O10" s="20">
        <f t="shared" ref="O10:O12" si="3">I10-J10-K10</f>
        <v>0</v>
      </c>
      <c r="P10" s="21">
        <f t="shared" si="1"/>
        <v>47.312476773275392</v>
      </c>
      <c r="Q10" s="352"/>
      <c r="R10" s="352"/>
    </row>
    <row r="11" spans="1:50" ht="56.25" x14ac:dyDescent="0.3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10906429.089999998</v>
      </c>
      <c r="J11" s="28">
        <f t="shared" si="2"/>
        <v>5160101.7299999995</v>
      </c>
      <c r="K11" s="33">
        <f t="shared" si="2"/>
        <v>5746327.3600000003</v>
      </c>
      <c r="L11" s="33" t="e">
        <f t="shared" si="2"/>
        <v>#REF!</v>
      </c>
      <c r="M11" s="33">
        <f t="shared" si="2"/>
        <v>0</v>
      </c>
      <c r="N11" s="33">
        <f t="shared" si="2"/>
        <v>0</v>
      </c>
      <c r="O11" s="88">
        <f t="shared" si="3"/>
        <v>0</v>
      </c>
      <c r="P11" s="31">
        <f t="shared" si="1"/>
        <v>47.312476773275392</v>
      </c>
      <c r="Q11" s="352"/>
      <c r="R11" s="352"/>
      <c r="T11" s="226">
        <v>124457171.20999999</v>
      </c>
      <c r="U11" s="227"/>
      <c r="V11" s="226">
        <v>51372208.350000001</v>
      </c>
    </row>
    <row r="12" spans="1:50" ht="23.25" customHeight="1" x14ac:dyDescent="0.4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 t="shared" si="2"/>
        <v>10906429.089999998</v>
      </c>
      <c r="J12" s="35">
        <f>J13</f>
        <v>5160101.7299999995</v>
      </c>
      <c r="K12" s="35">
        <f>K13</f>
        <v>5746327.3600000003</v>
      </c>
      <c r="L12" s="87" t="e">
        <f>L13</f>
        <v>#REF!</v>
      </c>
      <c r="M12" s="176"/>
      <c r="N12" s="177"/>
      <c r="O12" s="88">
        <f t="shared" si="3"/>
        <v>0</v>
      </c>
      <c r="P12" s="154">
        <f t="shared" si="1"/>
        <v>47.312476773275392</v>
      </c>
      <c r="Q12" s="352"/>
      <c r="R12" s="352"/>
      <c r="T12" s="224">
        <f>124457171.21-I6</f>
        <v>-1250000.0000000149</v>
      </c>
      <c r="V12" s="225">
        <f>51372208.35-J6</f>
        <v>-17744479.710000001</v>
      </c>
    </row>
    <row r="13" spans="1:50" ht="56.25" x14ac:dyDescent="0.25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10906429.089999998</v>
      </c>
      <c r="J13" s="35">
        <f>J14+J32</f>
        <v>5160101.7299999995</v>
      </c>
      <c r="K13" s="35">
        <f>K14+K32+K28</f>
        <v>5746327.3600000003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154">
        <f t="shared" si="1"/>
        <v>47.312476773275392</v>
      </c>
      <c r="Q13" s="352"/>
      <c r="R13" s="352"/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9406230.3199999984</v>
      </c>
      <c r="J14" s="28">
        <f t="shared" ref="J14:P14" si="4">J15+J22+J27+J29+J30+J31+J21+J18+J28</f>
        <v>4446282.6099999994</v>
      </c>
      <c r="K14" s="28">
        <f t="shared" si="4"/>
        <v>4959947.71</v>
      </c>
      <c r="L14" s="28" t="e">
        <f t="shared" si="4"/>
        <v>#REF!</v>
      </c>
      <c r="M14" s="28">
        <f t="shared" si="4"/>
        <v>570071.74000000011</v>
      </c>
      <c r="N14" s="28">
        <f t="shared" si="4"/>
        <v>-276500.84000000008</v>
      </c>
      <c r="O14" s="28">
        <f t="shared" si="4"/>
        <v>0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1676610.74</v>
      </c>
      <c r="K15" s="28">
        <f>K16+K17</f>
        <v>1246761.72</v>
      </c>
      <c r="L15" s="28">
        <f t="shared" ref="L15:N15" si="5">L16+L17+L18</f>
        <v>337066.70999999996</v>
      </c>
      <c r="M15" s="28">
        <f t="shared" si="5"/>
        <v>613567.55000000005</v>
      </c>
      <c r="N15" s="28">
        <f t="shared" si="5"/>
        <v>-276500.84000000008</v>
      </c>
      <c r="O15" s="28">
        <f>O16+O17</f>
        <v>0</v>
      </c>
      <c r="P15" s="155">
        <f>J15/I15*100</f>
        <v>57.351937289578217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1287700.97</v>
      </c>
      <c r="K16" s="100">
        <f>I16-J16</f>
        <v>950634.26</v>
      </c>
      <c r="L16" s="100">
        <f t="shared" ref="L16:N16" si="6">J16-K16</f>
        <v>337066.70999999996</v>
      </c>
      <c r="M16" s="100">
        <f t="shared" si="6"/>
        <v>613567.55000000005</v>
      </c>
      <c r="N16" s="100">
        <f t="shared" si="6"/>
        <v>-276500.84000000008</v>
      </c>
      <c r="O16" s="153">
        <f>I16-J16-K16</f>
        <v>0</v>
      </c>
      <c r="P16" s="154">
        <f t="shared" si="1"/>
        <v>57.529406352595359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388909.77</v>
      </c>
      <c r="K17" s="100">
        <f>I17-J17</f>
        <v>296127.45999999996</v>
      </c>
      <c r="L17" s="165"/>
      <c r="M17" s="176"/>
      <c r="N17" s="177"/>
      <c r="O17" s="153">
        <f t="shared" ref="O17:O21" si="7">I17-J17-K17</f>
        <v>0</v>
      </c>
      <c r="P17" s="154">
        <f t="shared" si="1"/>
        <v>56.772063322748167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45000</v>
      </c>
      <c r="J18" s="33">
        <f t="shared" ref="J18:O18" si="8">J19+J20</f>
        <v>34711</v>
      </c>
      <c r="K18" s="28">
        <f t="shared" si="8"/>
        <v>10289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1"/>
        <v>77.135555555555555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1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23">
        <v>45000</v>
      </c>
      <c r="J20" s="35">
        <v>34711</v>
      </c>
      <c r="K20" s="35">
        <f t="shared" si="9"/>
        <v>10289</v>
      </c>
      <c r="L20" s="28"/>
      <c r="M20" s="28"/>
      <c r="N20" s="28"/>
      <c r="O20" s="35">
        <f t="shared" si="7"/>
        <v>0</v>
      </c>
      <c r="P20" s="154">
        <f t="shared" si="1"/>
        <v>77.135555555555555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33">
        <v>30000</v>
      </c>
      <c r="J21" s="28">
        <v>11077.14</v>
      </c>
      <c r="K21" s="28">
        <f t="shared" si="9"/>
        <v>18922.86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1"/>
        <v>36.923799999999993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5264109.8599999994</v>
      </c>
      <c r="J22" s="33">
        <f t="shared" ref="J22:P22" si="10">J23+J25+J26+J24</f>
        <v>2184506.54</v>
      </c>
      <c r="K22" s="28">
        <f t="shared" si="10"/>
        <v>3079603.3200000003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125.21849318214242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v>155350.32</v>
      </c>
      <c r="J23" s="23">
        <v>61755.08</v>
      </c>
      <c r="K23" s="35">
        <f>I23-J23</f>
        <v>93595.24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1"/>
        <v>39.752142126260182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100000</v>
      </c>
      <c r="J24" s="23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1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v>2218116.29</v>
      </c>
      <c r="J25" s="23">
        <v>1016254.27</v>
      </c>
      <c r="K25" s="35">
        <f>I25-J25</f>
        <v>1201862.02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1"/>
        <v>45.816095151620743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f>2835643.25-45000</f>
        <v>2790643.25</v>
      </c>
      <c r="J26" s="23">
        <f>1141208.19-34711</f>
        <v>1106497.19</v>
      </c>
      <c r="K26" s="23">
        <f t="shared" si="11"/>
        <v>1684146.06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1"/>
        <v>39.650255904261499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v>1142243.81</v>
      </c>
      <c r="J27" s="23">
        <f>537873</f>
        <v>537873</v>
      </c>
      <c r="K27" s="23">
        <f t="shared" si="11"/>
        <v>604370.81000000006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1"/>
        <v>47.08915866219489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0</v>
      </c>
      <c r="J28" s="23">
        <v>0</v>
      </c>
      <c r="K28" s="23">
        <f t="shared" si="11"/>
        <v>0</v>
      </c>
      <c r="L28" s="24">
        <f t="shared" si="13"/>
        <v>30000</v>
      </c>
      <c r="M28" s="182"/>
      <c r="N28" s="183"/>
      <c r="O28" s="25">
        <f t="shared" si="12"/>
        <v>0</v>
      </c>
      <c r="P28" s="26" t="e">
        <f t="shared" si="1"/>
        <v>#DIV/0!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v>1213.52</v>
      </c>
      <c r="J29" s="230">
        <v>1213.52</v>
      </c>
      <c r="K29" s="23">
        <f t="shared" si="11"/>
        <v>0</v>
      </c>
      <c r="L29" s="38">
        <v>15000</v>
      </c>
      <c r="M29" s="182">
        <f>J29-L29</f>
        <v>-13786.48</v>
      </c>
      <c r="N29" s="183"/>
      <c r="O29" s="25">
        <f t="shared" si="12"/>
        <v>0</v>
      </c>
      <c r="P29" s="26">
        <f t="shared" si="1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v>290.67</v>
      </c>
      <c r="J30" s="23">
        <v>290.67</v>
      </c>
      <c r="K30" s="23">
        <f t="shared" si="11"/>
        <v>0</v>
      </c>
      <c r="L30" s="38">
        <v>30000</v>
      </c>
      <c r="M30" s="182">
        <f>J30-L30</f>
        <v>-29709.33</v>
      </c>
      <c r="N30" s="183"/>
      <c r="O30" s="25">
        <f t="shared" si="12"/>
        <v>0</v>
      </c>
      <c r="P30" s="26">
        <f t="shared" si="1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1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1500198.77</v>
      </c>
      <c r="J32" s="33">
        <f>J34+J33+J37+J38+J39+J40+J35+J36</f>
        <v>713819.12</v>
      </c>
      <c r="K32" s="33">
        <f>K34+K33+K37+K38+K39+K40+K35+K36</f>
        <v>786379.65</v>
      </c>
      <c r="L32" s="33" t="e">
        <f t="shared" ref="L32:O32" si="14">L34+L33+L37+L38+L39+L40</f>
        <v>#REF!</v>
      </c>
      <c r="M32" s="33">
        <f t="shared" si="14"/>
        <v>-4516033.04</v>
      </c>
      <c r="N32" s="33">
        <f t="shared" si="14"/>
        <v>0</v>
      </c>
      <c r="O32" s="33">
        <f t="shared" si="14"/>
        <v>0</v>
      </c>
      <c r="P32" s="31">
        <f t="shared" si="1"/>
        <v>47.581636132124011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v>642896.05000000005</v>
      </c>
      <c r="J33" s="23">
        <v>343491.95</v>
      </c>
      <c r="K33" s="23">
        <f>I33-J33</f>
        <v>299404.10000000003</v>
      </c>
      <c r="L33" s="39" t="e">
        <f>#REF!+#REF!+L76+#REF!+#REF!</f>
        <v>#REF!</v>
      </c>
      <c r="M33" s="182"/>
      <c r="N33" s="183"/>
      <c r="O33" s="25">
        <f t="shared" si="12"/>
        <v>0</v>
      </c>
      <c r="P33" s="26">
        <f t="shared" si="1"/>
        <v>53.42884747853094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40000</v>
      </c>
      <c r="J34" s="23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-2258016.52</v>
      </c>
      <c r="N34" s="23">
        <f t="shared" si="16"/>
        <v>0</v>
      </c>
      <c r="O34" s="25">
        <f t="shared" si="12"/>
        <v>0</v>
      </c>
      <c r="P34" s="26">
        <f t="shared" si="1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1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0</v>
      </c>
      <c r="J36" s="34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1"/>
        <v>#DIV/0!</v>
      </c>
      <c r="Q36" s="235"/>
      <c r="R36" s="236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v>150000</v>
      </c>
      <c r="J37" s="34">
        <v>73861.48</v>
      </c>
      <c r="K37" s="23">
        <f t="shared" si="15"/>
        <v>76138.52</v>
      </c>
      <c r="L37" s="38">
        <v>1178466</v>
      </c>
      <c r="M37" s="182">
        <f>J37-L37</f>
        <v>-1104604.52</v>
      </c>
      <c r="N37" s="183"/>
      <c r="O37" s="25">
        <f t="shared" si="12"/>
        <v>0</v>
      </c>
      <c r="P37" s="26">
        <f t="shared" si="1"/>
        <v>49.240986666666664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v>90000</v>
      </c>
      <c r="J38" s="34">
        <v>25054</v>
      </c>
      <c r="K38" s="23">
        <f t="shared" si="15"/>
        <v>64946</v>
      </c>
      <c r="L38" s="38">
        <v>1178466</v>
      </c>
      <c r="M38" s="182">
        <f>J38-L38</f>
        <v>-1153412</v>
      </c>
      <c r="N38" s="183"/>
      <c r="O38" s="25">
        <f t="shared" si="12"/>
        <v>0</v>
      </c>
      <c r="P38" s="26">
        <f t="shared" si="1"/>
        <v>27.837777777777777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v>537302.72</v>
      </c>
      <c r="J39" s="34">
        <v>248496.69</v>
      </c>
      <c r="K39" s="23">
        <f t="shared" si="15"/>
        <v>288806.02999999997</v>
      </c>
      <c r="L39" s="38"/>
      <c r="M39" s="182"/>
      <c r="N39" s="183"/>
      <c r="O39" s="25">
        <f t="shared" si="12"/>
        <v>0</v>
      </c>
      <c r="P39" s="26">
        <f t="shared" si="1"/>
        <v>46.248917183966611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v>40000</v>
      </c>
      <c r="J40" s="34">
        <v>22915</v>
      </c>
      <c r="K40" s="23">
        <f>I40-J40</f>
        <v>17085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57.287500000000001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87701.66</v>
      </c>
      <c r="K41" s="17">
        <f>K42+K44+K45+K43</f>
        <v>513754.18000000005</v>
      </c>
      <c r="L41" s="42"/>
      <c r="M41" s="186"/>
      <c r="N41" s="187"/>
      <c r="O41" s="20">
        <f>I41-K41-J41</f>
        <v>0</v>
      </c>
      <c r="P41" s="21">
        <f>J41/I41*100</f>
        <v>14.581562629768467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67402.98</v>
      </c>
      <c r="K42" s="35">
        <f>I42-J42</f>
        <v>401847.72000000003</v>
      </c>
      <c r="L42" s="45"/>
      <c r="M42" s="188"/>
      <c r="N42" s="189"/>
      <c r="O42" s="25">
        <f>I42-K42-J42</f>
        <v>0</v>
      </c>
      <c r="P42" s="26">
        <f t="shared" si="1"/>
        <v>14.363959393134628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18948.68</v>
      </c>
      <c r="K43" s="35">
        <f>I43-J43</f>
        <v>56922.46</v>
      </c>
      <c r="L43" s="45"/>
      <c r="M43" s="188"/>
      <c r="N43" s="189"/>
      <c r="O43" s="25"/>
      <c r="P43" s="26">
        <f t="shared" si="1"/>
        <v>24.974819147306867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0</v>
      </c>
      <c r="K44" s="35">
        <f t="shared" ref="K44:K45" si="17">I44-J44</f>
        <v>51834</v>
      </c>
      <c r="L44" s="45"/>
      <c r="M44" s="188"/>
      <c r="N44" s="189"/>
      <c r="O44" s="25">
        <f>I44-K44-J44</f>
        <v>0</v>
      </c>
      <c r="P44" s="26">
        <f t="shared" si="1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1350</v>
      </c>
      <c r="K45" s="35">
        <f t="shared" si="17"/>
        <v>3150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1"/>
        <v>30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362429.98</v>
      </c>
      <c r="K46" s="17">
        <f>K47</f>
        <v>887570.02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1"/>
        <v>28.994398399999998</v>
      </c>
      <c r="Q46" s="380"/>
      <c r="R46" s="3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v>1250000</v>
      </c>
      <c r="J47" s="23">
        <v>362429.98</v>
      </c>
      <c r="K47" s="23">
        <f>I47-J47</f>
        <v>887570.02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1"/>
        <v>28.994398399999998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5764549.1299999999</v>
      </c>
      <c r="K48" s="17">
        <f t="shared" si="21"/>
        <v>5680003.6700000009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50.369369871752433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v>11444552.800000001</v>
      </c>
      <c r="J49" s="34">
        <v>5764549.1299999999</v>
      </c>
      <c r="K49" s="36">
        <f>I49-J49</f>
        <v>5680003.6700000009</v>
      </c>
      <c r="L49" s="37"/>
      <c r="M49" s="182"/>
      <c r="N49" s="183"/>
      <c r="O49" s="25">
        <f>I49-J49-K49</f>
        <v>0</v>
      </c>
      <c r="P49" s="26">
        <f>J49/I49*100</f>
        <v>50.369369871752433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8252.119999999999</v>
      </c>
      <c r="K50" s="17">
        <f t="shared" si="23"/>
        <v>5116.8999999999996</v>
      </c>
      <c r="L50" s="42"/>
      <c r="M50" s="186"/>
      <c r="N50" s="187"/>
      <c r="O50" s="20">
        <f>I50-J50-K50</f>
        <v>0</v>
      </c>
      <c r="P50" s="21">
        <f t="shared" si="1"/>
        <v>61.725691187536547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6687.57</v>
      </c>
      <c r="K51" s="35">
        <f>I51-J51</f>
        <v>3580.5</v>
      </c>
      <c r="L51" s="93"/>
      <c r="M51" s="188"/>
      <c r="N51" s="189"/>
      <c r="O51" s="25">
        <f t="shared" ref="O51:O52" si="24">I51-J51-K51</f>
        <v>0</v>
      </c>
      <c r="P51" s="26">
        <f t="shared" si="1"/>
        <v>65.129766353365341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1564.55</v>
      </c>
      <c r="K52" s="35">
        <f>I52-J52</f>
        <v>1536.3999999999999</v>
      </c>
      <c r="L52" s="93"/>
      <c r="M52" s="188"/>
      <c r="N52" s="189"/>
      <c r="O52" s="25">
        <f t="shared" si="24"/>
        <v>0</v>
      </c>
      <c r="P52" s="26">
        <f t="shared" si="1"/>
        <v>50.45389316177301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42033.46</v>
      </c>
      <c r="K53" s="17">
        <f t="shared" si="25"/>
        <v>46317.16</v>
      </c>
      <c r="L53" s="42"/>
      <c r="M53" s="186"/>
      <c r="N53" s="187"/>
      <c r="O53" s="20">
        <f>I53-J53-K53</f>
        <v>0</v>
      </c>
      <c r="P53" s="21">
        <f t="shared" si="1"/>
        <v>47.575738574330323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67857.62</v>
      </c>
      <c r="J54" s="34">
        <v>32283.759999999998</v>
      </c>
      <c r="K54" s="35">
        <f>I54-J54</f>
        <v>35573.86</v>
      </c>
      <c r="L54" s="93"/>
      <c r="M54" s="188"/>
      <c r="N54" s="189"/>
      <c r="O54" s="25">
        <f t="shared" ref="O54:O55" si="26">I54-J54-K54</f>
        <v>0</v>
      </c>
      <c r="P54" s="26">
        <f t="shared" si="1"/>
        <v>47.575732835899636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20493</v>
      </c>
      <c r="J55" s="34">
        <v>9749.7000000000007</v>
      </c>
      <c r="K55" s="35">
        <f>I55-J55</f>
        <v>10743.3</v>
      </c>
      <c r="L55" s="93"/>
      <c r="M55" s="188"/>
      <c r="N55" s="189"/>
      <c r="O55" s="25">
        <f t="shared" si="26"/>
        <v>0</v>
      </c>
      <c r="P55" s="26">
        <f t="shared" si="1"/>
        <v>47.575757575757578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1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1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1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1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1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I64+I65+I66+I67+I68+I62</f>
        <v>208651</v>
      </c>
      <c r="J61" s="17">
        <f t="shared" ref="J61:N61" si="30">J64+J65+J66+J67+J68+J62</f>
        <v>208651</v>
      </c>
      <c r="K61" s="17">
        <f t="shared" si="30"/>
        <v>0</v>
      </c>
      <c r="L61" s="17" t="e">
        <f t="shared" si="30"/>
        <v>#REF!</v>
      </c>
      <c r="M61" s="17" t="e">
        <f t="shared" si="30"/>
        <v>#REF!</v>
      </c>
      <c r="N61" s="17" t="e">
        <f t="shared" si="30"/>
        <v>#REF!</v>
      </c>
      <c r="O61" s="20">
        <f>I61-J61-K61</f>
        <v>0</v>
      </c>
      <c r="P61" s="21">
        <f>J61/I61*100</f>
        <v>100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17632</v>
      </c>
      <c r="J62" s="44">
        <f>J63</f>
        <v>17632</v>
      </c>
      <c r="K62" s="33">
        <f t="shared" ref="K62:K63" si="31">I62-J62</f>
        <v>0</v>
      </c>
      <c r="L62" s="92"/>
      <c r="M62" s="184"/>
      <c r="N62" s="185"/>
      <c r="O62" s="30">
        <f t="shared" ref="O62:O66" si="32">I62-J62-K62</f>
        <v>0</v>
      </c>
      <c r="P62" s="31">
        <f t="shared" ref="P62:P68" si="33">J62/I62*100</f>
        <v>100</v>
      </c>
      <c r="Q62" s="325"/>
      <c r="R62" s="326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17632</v>
      </c>
      <c r="J63" s="23">
        <v>17632</v>
      </c>
      <c r="K63" s="23">
        <f t="shared" si="31"/>
        <v>0</v>
      </c>
      <c r="L63" s="24"/>
      <c r="M63" s="182"/>
      <c r="N63" s="183"/>
      <c r="O63" s="25">
        <f t="shared" si="32"/>
        <v>0</v>
      </c>
      <c r="P63" s="26">
        <f t="shared" si="33"/>
        <v>100</v>
      </c>
      <c r="Q63" s="325"/>
      <c r="R63" s="326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172367.78</v>
      </c>
      <c r="J64" s="23">
        <v>172367.78</v>
      </c>
      <c r="K64" s="34">
        <f>I64-J64</f>
        <v>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si="32"/>
        <v>0</v>
      </c>
      <c r="P64" s="26">
        <f t="shared" si="33"/>
        <v>100</v>
      </c>
      <c r="Q64" s="325"/>
      <c r="R64" s="326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3986.5</v>
      </c>
      <c r="J65" s="23">
        <v>3986.5</v>
      </c>
      <c r="K65" s="34">
        <f t="shared" ref="K65:K68" si="34">I65-J65</f>
        <v>0</v>
      </c>
      <c r="L65" s="38">
        <v>107900</v>
      </c>
      <c r="M65" s="182"/>
      <c r="N65" s="183"/>
      <c r="O65" s="25">
        <f t="shared" si="32"/>
        <v>0</v>
      </c>
      <c r="P65" s="26">
        <f t="shared" si="33"/>
        <v>100</v>
      </c>
      <c r="Q65" s="325"/>
      <c r="R65" s="32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x14ac:dyDescent="0.25">
      <c r="A66" s="99" t="s">
        <v>113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114</v>
      </c>
      <c r="H66" s="22"/>
      <c r="I66" s="23">
        <v>0</v>
      </c>
      <c r="J66" s="23">
        <v>0</v>
      </c>
      <c r="K66" s="34">
        <f t="shared" si="34"/>
        <v>0</v>
      </c>
      <c r="L66" s="45"/>
      <c r="M66" s="188"/>
      <c r="N66" s="189"/>
      <c r="O66" s="25">
        <f t="shared" si="32"/>
        <v>0</v>
      </c>
      <c r="P66" s="26" t="e">
        <f t="shared" si="33"/>
        <v>#DIV/0!</v>
      </c>
      <c r="Q66" s="325"/>
      <c r="R66" s="326"/>
    </row>
    <row r="67" spans="1:50" s="15" customFormat="1" ht="37.5" x14ac:dyDescent="0.25">
      <c r="A67" s="175" t="s">
        <v>109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104</v>
      </c>
      <c r="H67" s="22"/>
      <c r="I67" s="23">
        <v>14664.72</v>
      </c>
      <c r="J67" s="23">
        <v>14664.72</v>
      </c>
      <c r="K67" s="34">
        <f t="shared" si="34"/>
        <v>0</v>
      </c>
      <c r="L67" s="38">
        <v>1178466</v>
      </c>
      <c r="M67" s="182">
        <f>J67-L67</f>
        <v>-1163801.28</v>
      </c>
      <c r="N67" s="183"/>
      <c r="O67" s="25">
        <f>I67-J67-K67</f>
        <v>0</v>
      </c>
      <c r="P67" s="26">
        <v>0</v>
      </c>
      <c r="Q67" s="325"/>
      <c r="R67" s="326"/>
    </row>
    <row r="68" spans="1:50" ht="37.5" x14ac:dyDescent="0.25">
      <c r="A68" s="175" t="s">
        <v>110</v>
      </c>
      <c r="B68" s="22" t="s">
        <v>9</v>
      </c>
      <c r="C68" s="22" t="s">
        <v>12</v>
      </c>
      <c r="D68" s="22" t="s">
        <v>12</v>
      </c>
      <c r="E68" s="22" t="s">
        <v>134</v>
      </c>
      <c r="F68" s="22" t="s">
        <v>22</v>
      </c>
      <c r="G68" s="22" t="s">
        <v>105</v>
      </c>
      <c r="H68" s="22"/>
      <c r="I68" s="23">
        <v>0</v>
      </c>
      <c r="J68" s="23">
        <v>0</v>
      </c>
      <c r="K68" s="34">
        <f t="shared" si="34"/>
        <v>0</v>
      </c>
      <c r="L68" s="45" t="e">
        <f>L103</f>
        <v>#REF!</v>
      </c>
      <c r="M68" s="192"/>
      <c r="N68" s="193"/>
      <c r="O68" s="25">
        <f>I68-J68-K68</f>
        <v>0</v>
      </c>
      <c r="P68" s="26" t="e">
        <f t="shared" si="33"/>
        <v>#DIV/0!</v>
      </c>
      <c r="Q68" s="325"/>
      <c r="R68" s="326"/>
    </row>
    <row r="69" spans="1:50" ht="121.5" customHeight="1" x14ac:dyDescent="0.25">
      <c r="A69" s="190" t="s">
        <v>64</v>
      </c>
      <c r="B69" s="41" t="s">
        <v>9</v>
      </c>
      <c r="C69" s="41" t="s">
        <v>12</v>
      </c>
      <c r="D69" s="41" t="s">
        <v>12</v>
      </c>
      <c r="E69" s="41" t="s">
        <v>65</v>
      </c>
      <c r="F69" s="41"/>
      <c r="G69" s="41"/>
      <c r="H69" s="41"/>
      <c r="I69" s="17">
        <f>I70</f>
        <v>20161.89</v>
      </c>
      <c r="J69" s="17">
        <f>J70</f>
        <v>20161</v>
      </c>
      <c r="K69" s="17">
        <f>K70</f>
        <v>0.89</v>
      </c>
      <c r="L69" s="42"/>
      <c r="M69" s="186"/>
      <c r="N69" s="187"/>
      <c r="O69" s="20">
        <f>I69-J69-K69</f>
        <v>-5.8208993181096957E-13</v>
      </c>
      <c r="P69" s="21">
        <f>J69/I69*100</f>
        <v>99.995585731298007</v>
      </c>
      <c r="Q69" s="325"/>
      <c r="R69" s="326"/>
    </row>
    <row r="70" spans="1:50" ht="40.5" customHeight="1" x14ac:dyDescent="0.25">
      <c r="A70" s="175" t="s">
        <v>109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104</v>
      </c>
      <c r="H70" s="22"/>
      <c r="I70" s="23">
        <v>20161.89</v>
      </c>
      <c r="J70" s="23">
        <v>20161</v>
      </c>
      <c r="K70" s="100">
        <v>0.89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ref="O70" si="35">I70-J70-K70</f>
        <v>-5.8208993181096957E-13</v>
      </c>
      <c r="P70" s="26">
        <f t="shared" ref="P70" si="36">J70/I70*100</f>
        <v>99.995585731298007</v>
      </c>
      <c r="Q70" s="325"/>
      <c r="R70" s="326"/>
    </row>
    <row r="71" spans="1:50" s="2" customFormat="1" ht="20.25" customHeight="1" x14ac:dyDescent="0.3">
      <c r="A71" s="333" t="s">
        <v>54</v>
      </c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5"/>
      <c r="Q71" s="340"/>
      <c r="R71" s="340"/>
    </row>
    <row r="72" spans="1:50" ht="19.5" x14ac:dyDescent="0.25">
      <c r="A72" s="173" t="s">
        <v>11</v>
      </c>
      <c r="B72" s="8" t="s">
        <v>9</v>
      </c>
      <c r="C72" s="8" t="s">
        <v>12</v>
      </c>
      <c r="D72" s="8"/>
      <c r="E72" s="8"/>
      <c r="F72" s="8"/>
      <c r="G72" s="8"/>
      <c r="H72" s="8"/>
      <c r="I72" s="9">
        <f t="shared" ref="I72:N72" si="37">I73+I103</f>
        <v>77734610</v>
      </c>
      <c r="J72" s="9">
        <f t="shared" si="37"/>
        <v>47577005.879999988</v>
      </c>
      <c r="K72" s="9">
        <f t="shared" si="37"/>
        <v>30157604.120000005</v>
      </c>
      <c r="L72" s="9" t="e">
        <f t="shared" si="37"/>
        <v>#REF!</v>
      </c>
      <c r="M72" s="9" t="e">
        <f t="shared" si="37"/>
        <v>#REF!</v>
      </c>
      <c r="N72" s="9" t="e">
        <f t="shared" si="37"/>
        <v>#REF!</v>
      </c>
      <c r="O72" s="11">
        <f>I72-J72-K72</f>
        <v>0</v>
      </c>
      <c r="P72" s="12">
        <f>J72/I72*100</f>
        <v>61.204405450802405</v>
      </c>
      <c r="Q72" s="331"/>
      <c r="R72" s="331"/>
    </row>
    <row r="73" spans="1:50" s="15" customFormat="1" ht="19.5" x14ac:dyDescent="0.25">
      <c r="A73" s="174" t="s">
        <v>13</v>
      </c>
      <c r="B73" s="13" t="s">
        <v>9</v>
      </c>
      <c r="C73" s="13" t="s">
        <v>12</v>
      </c>
      <c r="D73" s="13" t="s">
        <v>14</v>
      </c>
      <c r="E73" s="13"/>
      <c r="F73" s="13"/>
      <c r="G73" s="13"/>
      <c r="H73" s="13"/>
      <c r="I73" s="157">
        <f>I74+I91+I94+I100+I97</f>
        <v>77351534</v>
      </c>
      <c r="J73" s="157">
        <f>J74+J91+J94+J100+J97</f>
        <v>47193929.879999988</v>
      </c>
      <c r="K73" s="14">
        <f>K74+K91+K94+K100+K97</f>
        <v>30157604.120000005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7">
        <f t="shared" ref="I73:O76" si="38">O74</f>
        <v>0</v>
      </c>
      <c r="P73" s="48">
        <f>J73/I73*100</f>
        <v>61.012274016440301</v>
      </c>
      <c r="Q73" s="331"/>
      <c r="R73" s="331"/>
    </row>
    <row r="74" spans="1:50" s="19" customFormat="1" ht="37.5" x14ac:dyDescent="0.25">
      <c r="A74" s="40" t="s">
        <v>15</v>
      </c>
      <c r="B74" s="41" t="s">
        <v>9</v>
      </c>
      <c r="C74" s="41" t="s">
        <v>12</v>
      </c>
      <c r="D74" s="41" t="s">
        <v>14</v>
      </c>
      <c r="E74" s="41" t="s">
        <v>55</v>
      </c>
      <c r="F74" s="41"/>
      <c r="G74" s="41"/>
      <c r="H74" s="41"/>
      <c r="I74" s="17">
        <f>I75</f>
        <v>73536924.890000001</v>
      </c>
      <c r="J74" s="17">
        <f>J75</f>
        <v>45493490.579999991</v>
      </c>
      <c r="K74" s="17">
        <f t="shared" si="38"/>
        <v>28043434.310000002</v>
      </c>
      <c r="L74" s="17">
        <f t="shared" si="38"/>
        <v>0</v>
      </c>
      <c r="M74" s="17">
        <f t="shared" si="38"/>
        <v>0</v>
      </c>
      <c r="N74" s="17">
        <f t="shared" si="38"/>
        <v>0</v>
      </c>
      <c r="O74" s="17">
        <f t="shared" si="38"/>
        <v>0</v>
      </c>
      <c r="P74" s="21">
        <f t="shared" ref="P74:P102" si="39">J74/I74*100</f>
        <v>61.864825933435888</v>
      </c>
      <c r="Q74" s="346"/>
      <c r="R74" s="346"/>
    </row>
    <row r="75" spans="1:50" s="15" customFormat="1" ht="56.25" x14ac:dyDescent="0.25">
      <c r="A75" s="194" t="s">
        <v>17</v>
      </c>
      <c r="B75" s="27" t="s">
        <v>9</v>
      </c>
      <c r="C75" s="27" t="s">
        <v>12</v>
      </c>
      <c r="D75" s="27" t="s">
        <v>14</v>
      </c>
      <c r="E75" s="27" t="s">
        <v>55</v>
      </c>
      <c r="F75" s="27"/>
      <c r="G75" s="27"/>
      <c r="H75" s="27"/>
      <c r="I75" s="28">
        <f t="shared" si="38"/>
        <v>73536924.890000001</v>
      </c>
      <c r="J75" s="156">
        <f>J76</f>
        <v>45493490.579999991</v>
      </c>
      <c r="K75" s="44">
        <f t="shared" si="38"/>
        <v>28043434.310000002</v>
      </c>
      <c r="L75" s="24"/>
      <c r="M75" s="184"/>
      <c r="N75" s="185"/>
      <c r="O75" s="30">
        <f t="shared" ref="O75:O105" si="40">I75-J75-K75</f>
        <v>0</v>
      </c>
      <c r="P75" s="31">
        <f t="shared" si="39"/>
        <v>61.864825933435888</v>
      </c>
      <c r="Q75" s="331"/>
      <c r="R75" s="331"/>
      <c r="S75" s="1"/>
      <c r="T75" s="1"/>
      <c r="U75" s="1"/>
      <c r="V75" s="1"/>
      <c r="W75" s="1"/>
      <c r="X75" s="1"/>
      <c r="Y75" s="1"/>
    </row>
    <row r="76" spans="1:50" s="15" customFormat="1" ht="18.75" x14ac:dyDescent="0.25">
      <c r="A76" s="99" t="s">
        <v>19</v>
      </c>
      <c r="B76" s="22" t="s">
        <v>9</v>
      </c>
      <c r="C76" s="22" t="s">
        <v>12</v>
      </c>
      <c r="D76" s="22" t="s">
        <v>14</v>
      </c>
      <c r="E76" s="22" t="s">
        <v>55</v>
      </c>
      <c r="F76" s="22" t="s">
        <v>20</v>
      </c>
      <c r="G76" s="22"/>
      <c r="H76" s="22"/>
      <c r="I76" s="28">
        <f t="shared" si="38"/>
        <v>73536924.890000001</v>
      </c>
      <c r="J76" s="156">
        <f t="shared" si="38"/>
        <v>45493490.579999991</v>
      </c>
      <c r="K76" s="44">
        <f t="shared" si="38"/>
        <v>28043434.310000002</v>
      </c>
      <c r="L76" s="38"/>
      <c r="M76" s="184"/>
      <c r="N76" s="185"/>
      <c r="O76" s="30">
        <f t="shared" si="40"/>
        <v>0</v>
      </c>
      <c r="P76" s="31">
        <f t="shared" si="39"/>
        <v>61.864825933435888</v>
      </c>
      <c r="Q76" s="331"/>
      <c r="R76" s="331"/>
      <c r="S76" s="1"/>
      <c r="T76" s="1"/>
      <c r="U76" s="1"/>
      <c r="V76" s="1"/>
      <c r="W76" s="1"/>
      <c r="X76" s="1"/>
      <c r="Y76" s="1"/>
    </row>
    <row r="77" spans="1:50" s="2" customFormat="1" ht="56.25" x14ac:dyDescent="0.25">
      <c r="A77" s="99" t="s">
        <v>21</v>
      </c>
      <c r="B77" s="22" t="s">
        <v>9</v>
      </c>
      <c r="C77" s="22" t="s">
        <v>12</v>
      </c>
      <c r="D77" s="22" t="s">
        <v>14</v>
      </c>
      <c r="E77" s="22" t="s">
        <v>55</v>
      </c>
      <c r="F77" s="22" t="s">
        <v>22</v>
      </c>
      <c r="G77" s="22"/>
      <c r="H77" s="22"/>
      <c r="I77" s="28">
        <f t="shared" ref="I77:N77" si="41">I78+I88</f>
        <v>73536924.890000001</v>
      </c>
      <c r="J77" s="28">
        <f t="shared" si="41"/>
        <v>45493490.579999991</v>
      </c>
      <c r="K77" s="33">
        <f t="shared" si="41"/>
        <v>28043434.310000002</v>
      </c>
      <c r="L77" s="33" t="e">
        <f t="shared" si="41"/>
        <v>#REF!</v>
      </c>
      <c r="M77" s="33" t="e">
        <f t="shared" si="41"/>
        <v>#REF!</v>
      </c>
      <c r="N77" s="33" t="e">
        <f t="shared" si="41"/>
        <v>#REF!</v>
      </c>
      <c r="O77" s="30">
        <f t="shared" si="40"/>
        <v>0</v>
      </c>
      <c r="P77" s="31">
        <f t="shared" si="39"/>
        <v>61.864825933435888</v>
      </c>
      <c r="Q77" s="331"/>
      <c r="R77" s="33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8.75" x14ac:dyDescent="0.25">
      <c r="A78" s="99" t="s">
        <v>23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22</v>
      </c>
      <c r="G78" s="22" t="s">
        <v>24</v>
      </c>
      <c r="H78" s="22"/>
      <c r="I78" s="28">
        <f>I79+I86+I85+I83</f>
        <v>70313524.890000001</v>
      </c>
      <c r="J78" s="28">
        <f>J79+J86+J85+J83</f>
        <v>44674742.679999992</v>
      </c>
      <c r="K78" s="33">
        <f>K79+K86+K85+K83</f>
        <v>25638782.210000001</v>
      </c>
      <c r="L78" s="33" t="e">
        <f>L79+L86+#REF!</f>
        <v>#REF!</v>
      </c>
      <c r="M78" s="33" t="e">
        <f>M79+M86+#REF!</f>
        <v>#REF!</v>
      </c>
      <c r="N78" s="33" t="e">
        <f>N79+N86+#REF!</f>
        <v>#REF!</v>
      </c>
      <c r="O78" s="30">
        <f t="shared" si="40"/>
        <v>0</v>
      </c>
      <c r="P78" s="31">
        <f t="shared" si="39"/>
        <v>63.536485690185671</v>
      </c>
      <c r="Q78" s="331"/>
      <c r="R78" s="331"/>
    </row>
    <row r="79" spans="1:50" ht="18.75" x14ac:dyDescent="0.25">
      <c r="A79" s="99" t="s">
        <v>25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 t="s">
        <v>26</v>
      </c>
      <c r="H79" s="22"/>
      <c r="I79" s="28">
        <f>I80+I81+I82</f>
        <v>69377524.890000001</v>
      </c>
      <c r="J79" s="28">
        <f t="shared" ref="J79:K79" si="42">J80+J81+J82</f>
        <v>44218670.75</v>
      </c>
      <c r="K79" s="33">
        <f t="shared" si="42"/>
        <v>25158854.140000001</v>
      </c>
      <c r="L79" s="33" t="e">
        <f>L80+#REF!+L81</f>
        <v>#REF!</v>
      </c>
      <c r="M79" s="33" t="e">
        <f>M80+#REF!+M81</f>
        <v>#REF!</v>
      </c>
      <c r="N79" s="33" t="e">
        <f>N80+#REF!+N81</f>
        <v>#REF!</v>
      </c>
      <c r="O79" s="30">
        <f t="shared" si="40"/>
        <v>0</v>
      </c>
      <c r="P79" s="31">
        <f t="shared" si="39"/>
        <v>63.736304833748306</v>
      </c>
      <c r="Q79" s="331"/>
      <c r="R79" s="331"/>
    </row>
    <row r="80" spans="1:50" ht="18.75" x14ac:dyDescent="0.25">
      <c r="A80" s="99" t="s">
        <v>27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28</v>
      </c>
      <c r="H80" s="22"/>
      <c r="I80" s="23">
        <v>53227407.75</v>
      </c>
      <c r="J80" s="23">
        <v>33957676.780000001</v>
      </c>
      <c r="K80" s="23">
        <f>I80-J80</f>
        <v>19269730.969999999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5">
        <f t="shared" si="40"/>
        <v>0</v>
      </c>
      <c r="P80" s="26">
        <f t="shared" si="39"/>
        <v>63.797352182720189</v>
      </c>
      <c r="Q80" s="331"/>
      <c r="R80" s="331"/>
    </row>
    <row r="81" spans="1:50" ht="18.75" x14ac:dyDescent="0.25">
      <c r="A81" s="175" t="s">
        <v>29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30</v>
      </c>
      <c r="H81" s="22"/>
      <c r="I81" s="23">
        <v>9000</v>
      </c>
      <c r="J81" s="23">
        <v>2200</v>
      </c>
      <c r="K81" s="23">
        <f t="shared" ref="K81" si="43">I81-J81</f>
        <v>6800</v>
      </c>
      <c r="L81" s="23" t="e">
        <f>#REF!+#REF!</f>
        <v>#REF!</v>
      </c>
      <c r="M81" s="23" t="e">
        <f>#REF!+#REF!</f>
        <v>#REF!</v>
      </c>
      <c r="N81" s="23" t="e">
        <f>#REF!+#REF!</f>
        <v>#REF!</v>
      </c>
      <c r="O81" s="25">
        <f t="shared" si="40"/>
        <v>0</v>
      </c>
      <c r="P81" s="26">
        <f t="shared" si="39"/>
        <v>24.444444444444443</v>
      </c>
      <c r="Q81" s="331"/>
      <c r="R81" s="331"/>
    </row>
    <row r="82" spans="1:50" ht="21.75" customHeight="1" x14ac:dyDescent="0.25">
      <c r="A82" s="175" t="s">
        <v>31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32</v>
      </c>
      <c r="H82" s="22"/>
      <c r="I82" s="23">
        <v>16141117.140000001</v>
      </c>
      <c r="J82" s="34">
        <v>10258793.970000001</v>
      </c>
      <c r="K82" s="23">
        <f>I82-J82</f>
        <v>5882323.1699999999</v>
      </c>
      <c r="L82" s="24" t="e">
        <f>#REF!</f>
        <v>#REF!</v>
      </c>
      <c r="M82" s="182"/>
      <c r="N82" s="183"/>
      <c r="O82" s="25">
        <f t="shared" si="40"/>
        <v>0</v>
      </c>
      <c r="P82" s="26">
        <f t="shared" si="39"/>
        <v>63.556901799425269</v>
      </c>
      <c r="Q82" s="343"/>
      <c r="R82" s="343"/>
    </row>
    <row r="83" spans="1:50" ht="21.75" customHeight="1" x14ac:dyDescent="0.25">
      <c r="A83" s="179" t="s">
        <v>33</v>
      </c>
      <c r="B83" s="27" t="s">
        <v>9</v>
      </c>
      <c r="C83" s="27" t="s">
        <v>12</v>
      </c>
      <c r="D83" s="27" t="s">
        <v>14</v>
      </c>
      <c r="E83" s="27" t="s">
        <v>55</v>
      </c>
      <c r="F83" s="27" t="s">
        <v>22</v>
      </c>
      <c r="G83" s="27" t="s">
        <v>34</v>
      </c>
      <c r="H83" s="22"/>
      <c r="I83" s="33">
        <f>I84</f>
        <v>186000</v>
      </c>
      <c r="J83" s="44">
        <f>J84</f>
        <v>62939.4</v>
      </c>
      <c r="K83" s="33">
        <f t="shared" ref="K83:K84" si="44">I83-J83</f>
        <v>123060.6</v>
      </c>
      <c r="L83" s="92"/>
      <c r="M83" s="184"/>
      <c r="N83" s="185"/>
      <c r="O83" s="30">
        <f t="shared" si="40"/>
        <v>0</v>
      </c>
      <c r="P83" s="31">
        <f t="shared" si="39"/>
        <v>33.838387096774191</v>
      </c>
      <c r="Q83" s="344"/>
      <c r="R83" s="345"/>
    </row>
    <row r="84" spans="1:50" ht="24" customHeight="1" x14ac:dyDescent="0.25">
      <c r="A84" s="99" t="s">
        <v>43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44</v>
      </c>
      <c r="H84" s="22"/>
      <c r="I84" s="23">
        <v>186000</v>
      </c>
      <c r="J84" s="34">
        <v>62939.4</v>
      </c>
      <c r="K84" s="23">
        <f t="shared" si="44"/>
        <v>123060.6</v>
      </c>
      <c r="L84" s="24"/>
      <c r="M84" s="182"/>
      <c r="N84" s="183"/>
      <c r="O84" s="25">
        <f t="shared" si="40"/>
        <v>0</v>
      </c>
      <c r="P84" s="26">
        <f t="shared" si="39"/>
        <v>33.838387096774191</v>
      </c>
      <c r="Q84" s="344"/>
      <c r="R84" s="345"/>
    </row>
    <row r="85" spans="1:50" ht="42" customHeight="1" x14ac:dyDescent="0.25">
      <c r="A85" s="179" t="s">
        <v>93</v>
      </c>
      <c r="B85" s="27" t="s">
        <v>9</v>
      </c>
      <c r="C85" s="27" t="s">
        <v>12</v>
      </c>
      <c r="D85" s="27" t="s">
        <v>14</v>
      </c>
      <c r="E85" s="27" t="s">
        <v>55</v>
      </c>
      <c r="F85" s="27" t="s">
        <v>22</v>
      </c>
      <c r="G85" s="27" t="s">
        <v>94</v>
      </c>
      <c r="H85" s="27"/>
      <c r="I85" s="33">
        <v>220000</v>
      </c>
      <c r="J85" s="44">
        <v>213484.98</v>
      </c>
      <c r="K85" s="28">
        <f>I85-J85</f>
        <v>6515.0199999999895</v>
      </c>
      <c r="L85" s="94">
        <v>802458</v>
      </c>
      <c r="M85" s="184">
        <f>L85</f>
        <v>802458</v>
      </c>
      <c r="N85" s="185"/>
      <c r="O85" s="30">
        <f>I85-J85-K85</f>
        <v>0</v>
      </c>
      <c r="P85" s="31">
        <v>0</v>
      </c>
      <c r="Q85" s="344"/>
      <c r="R85" s="345"/>
    </row>
    <row r="86" spans="1:50" ht="18.75" x14ac:dyDescent="0.25">
      <c r="A86" s="179" t="s">
        <v>33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34</v>
      </c>
      <c r="H86" s="27"/>
      <c r="I86" s="33">
        <f>I87</f>
        <v>530000</v>
      </c>
      <c r="J86" s="33">
        <f t="shared" ref="J86:P86" si="45">J87</f>
        <v>179647.55000000002</v>
      </c>
      <c r="K86" s="28">
        <f t="shared" si="45"/>
        <v>350352.44999999995</v>
      </c>
      <c r="L86" s="28" t="e">
        <f t="shared" si="45"/>
        <v>#REF!</v>
      </c>
      <c r="M86" s="28" t="e">
        <f t="shared" si="45"/>
        <v>#REF!</v>
      </c>
      <c r="N86" s="28" t="e">
        <f t="shared" si="45"/>
        <v>#REF!</v>
      </c>
      <c r="O86" s="28">
        <f t="shared" si="45"/>
        <v>0</v>
      </c>
      <c r="P86" s="28">
        <f t="shared" si="45"/>
        <v>33.8957641509434</v>
      </c>
      <c r="Q86" s="331"/>
      <c r="R86" s="331"/>
    </row>
    <row r="87" spans="1:50" ht="18.75" x14ac:dyDescent="0.25">
      <c r="A87" s="99" t="s">
        <v>43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44</v>
      </c>
      <c r="H87" s="22"/>
      <c r="I87" s="23">
        <f>716000-186000</f>
        <v>530000</v>
      </c>
      <c r="J87" s="23">
        <f>242586.95-62939.4</f>
        <v>179647.55000000002</v>
      </c>
      <c r="K87" s="35">
        <f>I87-J87</f>
        <v>350352.44999999995</v>
      </c>
      <c r="L87" s="35" t="e">
        <f>L85+#REF!+#REF!</f>
        <v>#REF!</v>
      </c>
      <c r="M87" s="35" t="e">
        <f>M85+#REF!+#REF!</f>
        <v>#REF!</v>
      </c>
      <c r="N87" s="35" t="e">
        <f>N85+#REF!+#REF!</f>
        <v>#REF!</v>
      </c>
      <c r="O87" s="153">
        <f t="shared" si="40"/>
        <v>0</v>
      </c>
      <c r="P87" s="154">
        <f t="shared" si="39"/>
        <v>33.8957641509434</v>
      </c>
      <c r="Q87" s="331"/>
      <c r="R87" s="331"/>
    </row>
    <row r="88" spans="1:50" s="2" customFormat="1" ht="18.75" x14ac:dyDescent="0.25">
      <c r="A88" s="194" t="s">
        <v>45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46</v>
      </c>
      <c r="H88" s="27"/>
      <c r="I88" s="33">
        <f>I89+I90</f>
        <v>3223400</v>
      </c>
      <c r="J88" s="33">
        <f t="shared" ref="J88:N88" si="46">J89+J90</f>
        <v>818747.9</v>
      </c>
      <c r="K88" s="28">
        <f t="shared" si="46"/>
        <v>2404652.1</v>
      </c>
      <c r="L88" s="28" t="e">
        <f t="shared" si="46"/>
        <v>#REF!</v>
      </c>
      <c r="M88" s="28">
        <f t="shared" si="46"/>
        <v>0</v>
      </c>
      <c r="N88" s="28">
        <f t="shared" si="46"/>
        <v>0</v>
      </c>
      <c r="O88" s="88">
        <f t="shared" si="40"/>
        <v>0</v>
      </c>
      <c r="P88" s="155">
        <f t="shared" si="39"/>
        <v>25.40013339951604</v>
      </c>
      <c r="Q88" s="341"/>
      <c r="R88" s="341"/>
      <c r="S88" s="15"/>
      <c r="T88" s="15"/>
      <c r="U88" s="15"/>
      <c r="V88" s="15"/>
      <c r="W88" s="15"/>
      <c r="X88" s="15"/>
      <c r="Y88" s="1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8.75" x14ac:dyDescent="0.25">
      <c r="A89" s="99" t="s">
        <v>47</v>
      </c>
      <c r="B89" s="22" t="s">
        <v>9</v>
      </c>
      <c r="C89" s="22" t="s">
        <v>12</v>
      </c>
      <c r="D89" s="22" t="s">
        <v>14</v>
      </c>
      <c r="E89" s="22" t="s">
        <v>55</v>
      </c>
      <c r="F89" s="22" t="s">
        <v>22</v>
      </c>
      <c r="G89" s="22" t="s">
        <v>48</v>
      </c>
      <c r="H89" s="22"/>
      <c r="I89" s="23">
        <v>2693400</v>
      </c>
      <c r="J89" s="23">
        <v>817907.9</v>
      </c>
      <c r="K89" s="35">
        <f t="shared" ref="K89:K90" si="47">I89-J89</f>
        <v>1875492.1</v>
      </c>
      <c r="L89" s="50" t="e">
        <f>L90+#REF!+#REF!+#REF!+#REF!</f>
        <v>#REF!</v>
      </c>
      <c r="M89" s="176"/>
      <c r="N89" s="177"/>
      <c r="O89" s="153">
        <f t="shared" si="40"/>
        <v>0</v>
      </c>
      <c r="P89" s="154">
        <f t="shared" si="39"/>
        <v>30.367115912972451</v>
      </c>
      <c r="Q89" s="341"/>
      <c r="R89" s="341"/>
    </row>
    <row r="90" spans="1:50" ht="37.5" x14ac:dyDescent="0.25">
      <c r="A90" s="175" t="s">
        <v>109</v>
      </c>
      <c r="B90" s="22" t="s">
        <v>9</v>
      </c>
      <c r="C90" s="22" t="s">
        <v>12</v>
      </c>
      <c r="D90" s="22" t="s">
        <v>14</v>
      </c>
      <c r="E90" s="22" t="s">
        <v>55</v>
      </c>
      <c r="F90" s="22" t="s">
        <v>22</v>
      </c>
      <c r="G90" s="22" t="s">
        <v>104</v>
      </c>
      <c r="H90" s="22"/>
      <c r="I90" s="23">
        <v>530000</v>
      </c>
      <c r="J90" s="34">
        <v>840</v>
      </c>
      <c r="K90" s="35">
        <f t="shared" si="47"/>
        <v>529160</v>
      </c>
      <c r="L90" s="50" t="e">
        <f>#REF!</f>
        <v>#REF!</v>
      </c>
      <c r="M90" s="176"/>
      <c r="N90" s="177"/>
      <c r="O90" s="153">
        <f t="shared" si="40"/>
        <v>0</v>
      </c>
      <c r="P90" s="154">
        <f t="shared" si="39"/>
        <v>0.15849056603773584</v>
      </c>
      <c r="Q90" s="342"/>
      <c r="R90" s="342"/>
    </row>
    <row r="91" spans="1:50" s="2" customFormat="1" ht="118.5" customHeight="1" x14ac:dyDescent="0.25">
      <c r="A91" s="86" t="s">
        <v>130</v>
      </c>
      <c r="B91" s="41" t="s">
        <v>9</v>
      </c>
      <c r="C91" s="41" t="s">
        <v>12</v>
      </c>
      <c r="D91" s="41" t="s">
        <v>14</v>
      </c>
      <c r="E91" s="41" t="s">
        <v>57</v>
      </c>
      <c r="F91" s="41" t="s">
        <v>22</v>
      </c>
      <c r="G91" s="16"/>
      <c r="H91" s="16"/>
      <c r="I91" s="17">
        <f>I92+I93</f>
        <v>254011.41</v>
      </c>
      <c r="J91" s="17">
        <f t="shared" ref="J91:K91" si="48">J92+J93</f>
        <v>171643.78999999998</v>
      </c>
      <c r="K91" s="17">
        <f t="shared" si="48"/>
        <v>82367.62000000001</v>
      </c>
      <c r="L91" s="42"/>
      <c r="M91" s="186"/>
      <c r="N91" s="187"/>
      <c r="O91" s="20">
        <f t="shared" si="40"/>
        <v>0</v>
      </c>
      <c r="P91" s="21">
        <f t="shared" si="39"/>
        <v>67.573259799628687</v>
      </c>
      <c r="Q91" s="331"/>
      <c r="R91" s="33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s="2" customFormat="1" ht="18.75" x14ac:dyDescent="0.25">
      <c r="A92" s="175" t="s">
        <v>27</v>
      </c>
      <c r="B92" s="43" t="s">
        <v>9</v>
      </c>
      <c r="C92" s="43" t="s">
        <v>12</v>
      </c>
      <c r="D92" s="43" t="s">
        <v>14</v>
      </c>
      <c r="E92" s="43" t="s">
        <v>57</v>
      </c>
      <c r="F92" s="43" t="s">
        <v>22</v>
      </c>
      <c r="G92" s="43" t="s">
        <v>28</v>
      </c>
      <c r="H92" s="43"/>
      <c r="I92" s="23">
        <v>195093.25</v>
      </c>
      <c r="J92" s="34">
        <v>141917.51999999999</v>
      </c>
      <c r="K92" s="35">
        <f t="shared" ref="K92:K93" si="49">I92-J92</f>
        <v>53175.73000000001</v>
      </c>
      <c r="L92" s="93"/>
      <c r="M92" s="188"/>
      <c r="N92" s="189"/>
      <c r="O92" s="25">
        <f t="shared" si="40"/>
        <v>0</v>
      </c>
      <c r="P92" s="26">
        <f t="shared" si="39"/>
        <v>72.74342910377473</v>
      </c>
      <c r="Q92" s="331"/>
      <c r="R92" s="33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15" customFormat="1" ht="18.75" x14ac:dyDescent="0.25">
      <c r="A93" s="99" t="s">
        <v>31</v>
      </c>
      <c r="B93" s="43" t="s">
        <v>9</v>
      </c>
      <c r="C93" s="43" t="s">
        <v>12</v>
      </c>
      <c r="D93" s="43" t="s">
        <v>14</v>
      </c>
      <c r="E93" s="43" t="s">
        <v>57</v>
      </c>
      <c r="F93" s="43" t="s">
        <v>22</v>
      </c>
      <c r="G93" s="103">
        <v>213</v>
      </c>
      <c r="H93" s="22"/>
      <c r="I93" s="23">
        <v>58918.16</v>
      </c>
      <c r="J93" s="34">
        <v>29726.27</v>
      </c>
      <c r="K93" s="35">
        <f t="shared" si="49"/>
        <v>29191.890000000003</v>
      </c>
      <c r="L93" s="93"/>
      <c r="M93" s="188"/>
      <c r="N93" s="189"/>
      <c r="O93" s="25">
        <f t="shared" si="40"/>
        <v>0</v>
      </c>
      <c r="P93" s="26">
        <f t="shared" si="39"/>
        <v>50.45349345600745</v>
      </c>
      <c r="Q93" s="331"/>
      <c r="R93" s="331"/>
    </row>
    <row r="94" spans="1:50" s="15" customFormat="1" ht="118.5" customHeight="1" x14ac:dyDescent="0.25">
      <c r="A94" s="86" t="s">
        <v>131</v>
      </c>
      <c r="B94" s="41" t="s">
        <v>9</v>
      </c>
      <c r="C94" s="41" t="s">
        <v>12</v>
      </c>
      <c r="D94" s="41" t="s">
        <v>14</v>
      </c>
      <c r="E94" s="41" t="s">
        <v>57</v>
      </c>
      <c r="F94" s="41" t="s">
        <v>22</v>
      </c>
      <c r="G94" s="16"/>
      <c r="H94" s="16"/>
      <c r="I94" s="17">
        <f>I95+I96</f>
        <v>1678661.9200000002</v>
      </c>
      <c r="J94" s="17">
        <f t="shared" ref="J94:K94" si="50">J95+J96</f>
        <v>798635.58000000007</v>
      </c>
      <c r="K94" s="17">
        <f t="shared" si="50"/>
        <v>880026.34000000008</v>
      </c>
      <c r="L94" s="42"/>
      <c r="M94" s="186"/>
      <c r="N94" s="187"/>
      <c r="O94" s="20">
        <f t="shared" si="40"/>
        <v>0</v>
      </c>
      <c r="P94" s="21">
        <f t="shared" si="39"/>
        <v>47.575725075124119</v>
      </c>
      <c r="Q94" s="338"/>
      <c r="R94" s="339"/>
    </row>
    <row r="95" spans="1:50" s="15" customFormat="1" ht="18.75" x14ac:dyDescent="0.25">
      <c r="A95" s="175" t="s">
        <v>27</v>
      </c>
      <c r="B95" s="43" t="s">
        <v>9</v>
      </c>
      <c r="C95" s="43" t="s">
        <v>12</v>
      </c>
      <c r="D95" s="43" t="s">
        <v>14</v>
      </c>
      <c r="E95" s="43" t="s">
        <v>57</v>
      </c>
      <c r="F95" s="43" t="s">
        <v>22</v>
      </c>
      <c r="G95" s="43" t="s">
        <v>28</v>
      </c>
      <c r="H95" s="43"/>
      <c r="I95" s="23">
        <v>1289294.8700000001</v>
      </c>
      <c r="J95" s="34">
        <v>613391.38</v>
      </c>
      <c r="K95" s="35">
        <f t="shared" ref="K95:K96" si="51">I95-J95</f>
        <v>675903.49000000011</v>
      </c>
      <c r="L95" s="93"/>
      <c r="M95" s="188"/>
      <c r="N95" s="189"/>
      <c r="O95" s="25">
        <f t="shared" si="40"/>
        <v>0</v>
      </c>
      <c r="P95" s="26">
        <f t="shared" si="39"/>
        <v>47.575724861140564</v>
      </c>
      <c r="Q95" s="338"/>
      <c r="R95" s="339"/>
    </row>
    <row r="96" spans="1:50" s="15" customFormat="1" ht="18.75" x14ac:dyDescent="0.25">
      <c r="A96" s="99" t="s">
        <v>31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103">
        <v>213</v>
      </c>
      <c r="H96" s="22"/>
      <c r="I96" s="23">
        <v>389367.05</v>
      </c>
      <c r="J96" s="34">
        <v>185244.2</v>
      </c>
      <c r="K96" s="35">
        <f t="shared" si="51"/>
        <v>204122.84999999998</v>
      </c>
      <c r="L96" s="93"/>
      <c r="M96" s="188"/>
      <c r="N96" s="189"/>
      <c r="O96" s="25">
        <f t="shared" si="40"/>
        <v>0</v>
      </c>
      <c r="P96" s="26">
        <f t="shared" si="39"/>
        <v>47.575725783678926</v>
      </c>
      <c r="Q96" s="338"/>
      <c r="R96" s="339"/>
    </row>
    <row r="97" spans="1:50" s="15" customFormat="1" ht="118.5" hidden="1" customHeight="1" x14ac:dyDescent="0.25">
      <c r="A97" s="86" t="s">
        <v>131</v>
      </c>
      <c r="B97" s="41" t="s">
        <v>9</v>
      </c>
      <c r="C97" s="41" t="s">
        <v>12</v>
      </c>
      <c r="D97" s="41" t="s">
        <v>14</v>
      </c>
      <c r="E97" s="41" t="s">
        <v>152</v>
      </c>
      <c r="F97" s="41" t="s">
        <v>22</v>
      </c>
      <c r="G97" s="16"/>
      <c r="H97" s="16"/>
      <c r="I97" s="17">
        <f>I98+I99</f>
        <v>0</v>
      </c>
      <c r="J97" s="17">
        <f t="shared" ref="J97:K97" si="52">J98+J99</f>
        <v>0</v>
      </c>
      <c r="K97" s="17">
        <f t="shared" si="52"/>
        <v>0</v>
      </c>
      <c r="L97" s="42"/>
      <c r="M97" s="186"/>
      <c r="N97" s="187"/>
      <c r="O97" s="20">
        <f t="shared" si="40"/>
        <v>0</v>
      </c>
      <c r="P97" s="21" t="e">
        <f t="shared" si="39"/>
        <v>#DIV/0!</v>
      </c>
      <c r="Q97" s="338"/>
      <c r="R97" s="339"/>
    </row>
    <row r="98" spans="1:50" s="15" customFormat="1" ht="18.75" hidden="1" x14ac:dyDescent="0.25">
      <c r="A98" s="175" t="s">
        <v>27</v>
      </c>
      <c r="B98" s="43" t="s">
        <v>9</v>
      </c>
      <c r="C98" s="43" t="s">
        <v>12</v>
      </c>
      <c r="D98" s="43" t="s">
        <v>14</v>
      </c>
      <c r="E98" s="43" t="s">
        <v>152</v>
      </c>
      <c r="F98" s="43" t="s">
        <v>22</v>
      </c>
      <c r="G98" s="43" t="s">
        <v>28</v>
      </c>
      <c r="H98" s="43"/>
      <c r="I98" s="121">
        <v>0</v>
      </c>
      <c r="J98" s="122">
        <v>0</v>
      </c>
      <c r="K98" s="35">
        <f>I98-J98</f>
        <v>0</v>
      </c>
      <c r="L98" s="93"/>
      <c r="M98" s="188"/>
      <c r="N98" s="189"/>
      <c r="O98" s="25">
        <f>I98-J98-K98</f>
        <v>0</v>
      </c>
      <c r="P98" s="26" t="e">
        <f t="shared" si="39"/>
        <v>#DIV/0!</v>
      </c>
      <c r="Q98" s="338"/>
      <c r="R98" s="339"/>
    </row>
    <row r="99" spans="1:50" s="15" customFormat="1" ht="18.75" hidden="1" x14ac:dyDescent="0.25">
      <c r="A99" s="99" t="s">
        <v>31</v>
      </c>
      <c r="B99" s="43" t="s">
        <v>9</v>
      </c>
      <c r="C99" s="43" t="s">
        <v>12</v>
      </c>
      <c r="D99" s="43" t="s">
        <v>14</v>
      </c>
      <c r="E99" s="43" t="s">
        <v>152</v>
      </c>
      <c r="F99" s="43" t="s">
        <v>22</v>
      </c>
      <c r="G99" s="103">
        <v>213</v>
      </c>
      <c r="H99" s="22"/>
      <c r="I99" s="121">
        <v>0</v>
      </c>
      <c r="J99" s="122">
        <v>0</v>
      </c>
      <c r="K99" s="35">
        <f t="shared" ref="K99" si="53">I99-J99</f>
        <v>0</v>
      </c>
      <c r="L99" s="93"/>
      <c r="M99" s="188"/>
      <c r="N99" s="189"/>
      <c r="O99" s="25">
        <f t="shared" si="40"/>
        <v>0</v>
      </c>
      <c r="P99" s="26" t="e">
        <f t="shared" si="39"/>
        <v>#DIV/0!</v>
      </c>
      <c r="Q99" s="338"/>
      <c r="R99" s="339"/>
    </row>
    <row r="100" spans="1:50" s="2" customFormat="1" ht="62.25" customHeight="1" x14ac:dyDescent="0.25">
      <c r="A100" s="190" t="s">
        <v>58</v>
      </c>
      <c r="B100" s="41" t="s">
        <v>9</v>
      </c>
      <c r="C100" s="41" t="s">
        <v>12</v>
      </c>
      <c r="D100" s="41" t="s">
        <v>14</v>
      </c>
      <c r="E100" s="41" t="s">
        <v>59</v>
      </c>
      <c r="F100" s="41" t="s">
        <v>22</v>
      </c>
      <c r="G100" s="41"/>
      <c r="H100" s="41"/>
      <c r="I100" s="17">
        <f>I102+I101</f>
        <v>1881935.78</v>
      </c>
      <c r="J100" s="17">
        <f>J102+J101</f>
        <v>730159.93</v>
      </c>
      <c r="K100" s="17">
        <f>K102+K101</f>
        <v>1151775.8500000001</v>
      </c>
      <c r="L100" s="18"/>
      <c r="M100" s="195"/>
      <c r="N100" s="196"/>
      <c r="O100" s="20">
        <f t="shared" si="40"/>
        <v>0</v>
      </c>
      <c r="P100" s="21">
        <f t="shared" si="39"/>
        <v>38.798344649146323</v>
      </c>
      <c r="Q100" s="331"/>
      <c r="R100" s="33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28.5" customHeight="1" x14ac:dyDescent="0.25">
      <c r="A101" s="175" t="s">
        <v>167</v>
      </c>
      <c r="B101" s="22" t="s">
        <v>9</v>
      </c>
      <c r="C101" s="22" t="s">
        <v>12</v>
      </c>
      <c r="D101" s="22" t="s">
        <v>14</v>
      </c>
      <c r="E101" s="22" t="s">
        <v>59</v>
      </c>
      <c r="F101" s="22" t="s">
        <v>22</v>
      </c>
      <c r="G101" s="22" t="s">
        <v>146</v>
      </c>
      <c r="H101" s="22"/>
      <c r="I101" s="23">
        <v>249335.78</v>
      </c>
      <c r="J101" s="34">
        <v>78109.279999999999</v>
      </c>
      <c r="K101" s="34">
        <f>I101-J101</f>
        <v>171226.5</v>
      </c>
      <c r="L101" s="24"/>
      <c r="M101" s="182"/>
      <c r="N101" s="183"/>
      <c r="O101" s="25"/>
      <c r="P101" s="26"/>
      <c r="Q101" s="331"/>
      <c r="R101" s="331"/>
    </row>
    <row r="102" spans="1:50" ht="18.75" x14ac:dyDescent="0.25">
      <c r="A102" s="99" t="s">
        <v>113</v>
      </c>
      <c r="B102" s="22" t="s">
        <v>9</v>
      </c>
      <c r="C102" s="22" t="s">
        <v>12</v>
      </c>
      <c r="D102" s="22" t="s">
        <v>14</v>
      </c>
      <c r="E102" s="22" t="s">
        <v>59</v>
      </c>
      <c r="F102" s="22" t="s">
        <v>22</v>
      </c>
      <c r="G102" s="22" t="s">
        <v>114</v>
      </c>
      <c r="H102" s="22"/>
      <c r="I102" s="23">
        <v>1632600</v>
      </c>
      <c r="J102" s="34">
        <v>652050.65</v>
      </c>
      <c r="K102" s="34">
        <f>I102-J102</f>
        <v>980549.35</v>
      </c>
      <c r="L102" s="93" t="e">
        <f>#REF!</f>
        <v>#REF!</v>
      </c>
      <c r="M102" s="188"/>
      <c r="N102" s="189"/>
      <c r="O102" s="25">
        <f t="shared" si="40"/>
        <v>0</v>
      </c>
      <c r="P102" s="26">
        <f t="shared" si="39"/>
        <v>39.939400343011151</v>
      </c>
      <c r="Q102" s="331"/>
      <c r="R102" s="331"/>
    </row>
    <row r="103" spans="1:50" s="15" customFormat="1" ht="117.75" customHeight="1" x14ac:dyDescent="0.25">
      <c r="A103" s="190" t="s">
        <v>73</v>
      </c>
      <c r="B103" s="41" t="s">
        <v>9</v>
      </c>
      <c r="C103" s="41" t="s">
        <v>12</v>
      </c>
      <c r="D103" s="41" t="s">
        <v>12</v>
      </c>
      <c r="E103" s="41" t="s">
        <v>74</v>
      </c>
      <c r="F103" s="41"/>
      <c r="G103" s="41"/>
      <c r="H103" s="41"/>
      <c r="I103" s="17">
        <f>I105+I104</f>
        <v>383076</v>
      </c>
      <c r="J103" s="17">
        <f t="shared" ref="J103:K103" si="54">J105+J104</f>
        <v>383076</v>
      </c>
      <c r="K103" s="17">
        <f t="shared" si="54"/>
        <v>0</v>
      </c>
      <c r="L103" s="18" t="e">
        <f>L105</f>
        <v>#REF!</v>
      </c>
      <c r="M103" s="186"/>
      <c r="N103" s="187"/>
      <c r="O103" s="20">
        <f>I103-J103-K103</f>
        <v>0</v>
      </c>
      <c r="P103" s="21">
        <f>J103/I103*100</f>
        <v>100</v>
      </c>
      <c r="Q103" s="331"/>
      <c r="R103" s="331"/>
      <c r="Z103" s="1"/>
      <c r="AA103" s="1"/>
      <c r="AB103" s="1"/>
      <c r="AC103" s="1"/>
      <c r="AD103" s="1"/>
    </row>
    <row r="104" spans="1:50" s="15" customFormat="1" ht="18.75" x14ac:dyDescent="0.25">
      <c r="A104" s="99" t="s">
        <v>43</v>
      </c>
      <c r="B104" s="22" t="s">
        <v>9</v>
      </c>
      <c r="C104" s="22" t="s">
        <v>12</v>
      </c>
      <c r="D104" s="22" t="s">
        <v>12</v>
      </c>
      <c r="E104" s="22" t="s">
        <v>74</v>
      </c>
      <c r="F104" s="22" t="s">
        <v>22</v>
      </c>
      <c r="G104" s="22" t="s">
        <v>44</v>
      </c>
      <c r="H104" s="27"/>
      <c r="I104" s="23">
        <v>216000</v>
      </c>
      <c r="J104" s="23">
        <v>216000</v>
      </c>
      <c r="K104" s="34">
        <f>I104-J104</f>
        <v>0</v>
      </c>
      <c r="L104" s="24"/>
      <c r="M104" s="182"/>
      <c r="N104" s="183"/>
      <c r="O104" s="30">
        <f t="shared" si="40"/>
        <v>0</v>
      </c>
      <c r="P104" s="31">
        <f>J104/I104*100</f>
        <v>100</v>
      </c>
      <c r="Q104" s="338"/>
      <c r="R104" s="339"/>
      <c r="Z104" s="1"/>
      <c r="AA104" s="1"/>
      <c r="AB104" s="1"/>
      <c r="AC104" s="1"/>
      <c r="AD104" s="1"/>
    </row>
    <row r="105" spans="1:50" ht="18.75" x14ac:dyDescent="0.25">
      <c r="A105" s="99" t="s">
        <v>113</v>
      </c>
      <c r="B105" s="22" t="s">
        <v>9</v>
      </c>
      <c r="C105" s="22" t="s">
        <v>12</v>
      </c>
      <c r="D105" s="22" t="s">
        <v>12</v>
      </c>
      <c r="E105" s="22" t="s">
        <v>74</v>
      </c>
      <c r="F105" s="22" t="s">
        <v>22</v>
      </c>
      <c r="G105" s="22" t="s">
        <v>114</v>
      </c>
      <c r="H105" s="22"/>
      <c r="I105" s="23">
        <v>167076</v>
      </c>
      <c r="J105" s="23">
        <v>167076</v>
      </c>
      <c r="K105" s="34">
        <f>I105-J105</f>
        <v>0</v>
      </c>
      <c r="L105" s="24" t="e">
        <f>#REF!</f>
        <v>#REF!</v>
      </c>
      <c r="M105" s="182"/>
      <c r="N105" s="183"/>
      <c r="O105" s="25">
        <f t="shared" si="40"/>
        <v>0</v>
      </c>
      <c r="P105" s="26">
        <f>J105/I105*100</f>
        <v>100</v>
      </c>
      <c r="Q105" s="331"/>
      <c r="R105" s="331"/>
    </row>
    <row r="106" spans="1:50" s="2" customFormat="1" ht="19.5" customHeight="1" x14ac:dyDescent="0.3">
      <c r="A106" s="333" t="s">
        <v>60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5"/>
      <c r="Q106" s="340"/>
      <c r="R106" s="340"/>
    </row>
    <row r="107" spans="1:50" ht="78" x14ac:dyDescent="0.25">
      <c r="A107" s="51" t="s">
        <v>8</v>
      </c>
      <c r="B107" s="52" t="s">
        <v>9</v>
      </c>
      <c r="C107" s="52"/>
      <c r="D107" s="52"/>
      <c r="E107" s="52"/>
      <c r="F107" s="52"/>
      <c r="G107" s="52"/>
      <c r="H107" s="52"/>
      <c r="I107" s="53">
        <f>I108+I122+I129+I134+I132+I139+I143+I146+I141</f>
        <v>781959.98</v>
      </c>
      <c r="J107" s="53">
        <f>J108+J122+J129+J134+J132+J146+J139+J143+J141</f>
        <v>272820.84000000003</v>
      </c>
      <c r="K107" s="53">
        <f>K108+K122+K129+K134+K132+K139+K143+K146+K141</f>
        <v>509139.14</v>
      </c>
      <c r="L107" s="53" t="e">
        <f t="shared" ref="L107:N107" si="55">L108+L122</f>
        <v>#REF!</v>
      </c>
      <c r="M107" s="53" t="e">
        <f t="shared" si="55"/>
        <v>#REF!</v>
      </c>
      <c r="N107" s="53" t="e">
        <f t="shared" si="55"/>
        <v>#REF!</v>
      </c>
      <c r="O107" s="53">
        <f>I107-J107-K107</f>
        <v>0</v>
      </c>
      <c r="P107" s="54">
        <f t="shared" ref="P107:P122" si="56">J107/I107*100</f>
        <v>34.889360961925448</v>
      </c>
      <c r="Q107" s="331"/>
      <c r="R107" s="331"/>
    </row>
    <row r="108" spans="1:50" ht="19.5" x14ac:dyDescent="0.25">
      <c r="A108" s="173" t="s">
        <v>11</v>
      </c>
      <c r="B108" s="8" t="s">
        <v>9</v>
      </c>
      <c r="C108" s="8" t="s">
        <v>12</v>
      </c>
      <c r="D108" s="8"/>
      <c r="E108" s="8"/>
      <c r="F108" s="8"/>
      <c r="G108" s="8"/>
      <c r="H108" s="8"/>
      <c r="I108" s="9">
        <f>I109+I113+I116+I119+I111+I148</f>
        <v>537217.12</v>
      </c>
      <c r="J108" s="9">
        <f>J109+J113+J116+J119+J111+J148</f>
        <v>229793.26</v>
      </c>
      <c r="K108" s="9">
        <f>K109+K113+K116+K119+K111+K148</f>
        <v>307423.86</v>
      </c>
      <c r="L108" s="10" t="e">
        <f>L109+#REF!</f>
        <v>#REF!</v>
      </c>
      <c r="M108" s="197"/>
      <c r="N108" s="198"/>
      <c r="O108" s="11">
        <f>I108-J108-K108</f>
        <v>0</v>
      </c>
      <c r="P108" s="12">
        <f t="shared" si="56"/>
        <v>42.774746270185879</v>
      </c>
      <c r="Q108" s="331"/>
      <c r="R108" s="331"/>
    </row>
    <row r="109" spans="1:50" ht="120.75" customHeight="1" x14ac:dyDescent="0.25">
      <c r="A109" s="190" t="s">
        <v>61</v>
      </c>
      <c r="B109" s="41" t="s">
        <v>9</v>
      </c>
      <c r="C109" s="41" t="s">
        <v>12</v>
      </c>
      <c r="D109" s="41" t="s">
        <v>14</v>
      </c>
      <c r="E109" s="41" t="s">
        <v>62</v>
      </c>
      <c r="F109" s="41"/>
      <c r="G109" s="41"/>
      <c r="H109" s="41"/>
      <c r="I109" s="17">
        <f>I110</f>
        <v>13261.15</v>
      </c>
      <c r="J109" s="17">
        <f t="shared" ref="J109:L111" si="57">J110</f>
        <v>8890.15</v>
      </c>
      <c r="K109" s="17">
        <f t="shared" si="57"/>
        <v>4371</v>
      </c>
      <c r="L109" s="18" t="e">
        <f t="shared" si="57"/>
        <v>#REF!</v>
      </c>
      <c r="M109" s="186"/>
      <c r="N109" s="187"/>
      <c r="O109" s="20">
        <f>I109-J109-K109</f>
        <v>0</v>
      </c>
      <c r="P109" s="21">
        <f t="shared" si="56"/>
        <v>67.039057698615878</v>
      </c>
      <c r="Q109" s="331"/>
      <c r="R109" s="331"/>
      <c r="S109" s="15"/>
    </row>
    <row r="110" spans="1:50" ht="23.25" customHeight="1" x14ac:dyDescent="0.25">
      <c r="A110" s="99" t="s">
        <v>113</v>
      </c>
      <c r="B110" s="22" t="s">
        <v>9</v>
      </c>
      <c r="C110" s="22" t="s">
        <v>12</v>
      </c>
      <c r="D110" s="22" t="s">
        <v>14</v>
      </c>
      <c r="E110" s="43" t="s">
        <v>62</v>
      </c>
      <c r="F110" s="22" t="s">
        <v>63</v>
      </c>
      <c r="G110" s="22" t="s">
        <v>114</v>
      </c>
      <c r="H110" s="22"/>
      <c r="I110" s="23">
        <v>13261.15</v>
      </c>
      <c r="J110" s="34">
        <v>8890.15</v>
      </c>
      <c r="K110" s="34">
        <f>I110-J110</f>
        <v>4371</v>
      </c>
      <c r="L110" s="24" t="e">
        <f>#REF!</f>
        <v>#REF!</v>
      </c>
      <c r="M110" s="184"/>
      <c r="N110" s="185"/>
      <c r="O110" s="25">
        <f>I110-K110-J110</f>
        <v>0</v>
      </c>
      <c r="P110" s="26">
        <f t="shared" si="56"/>
        <v>67.039057698615878</v>
      </c>
      <c r="Q110" s="331"/>
      <c r="R110" s="331"/>
      <c r="Z110" s="15"/>
      <c r="AA110" s="15"/>
      <c r="AB110" s="15"/>
      <c r="AC110" s="15"/>
      <c r="AD110" s="15"/>
    </row>
    <row r="111" spans="1:50" ht="106.5" customHeight="1" x14ac:dyDescent="0.25">
      <c r="A111" s="190" t="s">
        <v>141</v>
      </c>
      <c r="B111" s="41" t="s">
        <v>9</v>
      </c>
      <c r="C111" s="41" t="s">
        <v>12</v>
      </c>
      <c r="D111" s="41" t="s">
        <v>14</v>
      </c>
      <c r="E111" s="41" t="s">
        <v>136</v>
      </c>
      <c r="F111" s="41"/>
      <c r="G111" s="41"/>
      <c r="H111" s="41"/>
      <c r="I111" s="17">
        <f>I112</f>
        <v>355955.97</v>
      </c>
      <c r="J111" s="17">
        <f t="shared" si="57"/>
        <v>107903.11</v>
      </c>
      <c r="K111" s="17">
        <f t="shared" si="57"/>
        <v>248052.86</v>
      </c>
      <c r="L111" s="18" t="e">
        <f t="shared" si="57"/>
        <v>#REF!</v>
      </c>
      <c r="M111" s="186"/>
      <c r="N111" s="187"/>
      <c r="O111" s="20">
        <f>I111-J111-K111</f>
        <v>0</v>
      </c>
      <c r="P111" s="21">
        <f t="shared" si="56"/>
        <v>30.31361154021381</v>
      </c>
      <c r="Q111" s="331"/>
      <c r="R111" s="331"/>
      <c r="Z111" s="15"/>
      <c r="AA111" s="15"/>
      <c r="AB111" s="15"/>
      <c r="AC111" s="15"/>
      <c r="AD111" s="15"/>
    </row>
    <row r="112" spans="1:50" ht="23.25" customHeight="1" x14ac:dyDescent="0.25">
      <c r="A112" s="99" t="s">
        <v>113</v>
      </c>
      <c r="B112" s="22" t="s">
        <v>9</v>
      </c>
      <c r="C112" s="22" t="s">
        <v>12</v>
      </c>
      <c r="D112" s="22" t="s">
        <v>14</v>
      </c>
      <c r="E112" s="43" t="s">
        <v>136</v>
      </c>
      <c r="F112" s="22" t="s">
        <v>63</v>
      </c>
      <c r="G112" s="22" t="s">
        <v>114</v>
      </c>
      <c r="H112" s="22"/>
      <c r="I112" s="23">
        <v>355955.97</v>
      </c>
      <c r="J112" s="34">
        <v>107903.11</v>
      </c>
      <c r="K112" s="34">
        <f>I112-J112</f>
        <v>248052.86</v>
      </c>
      <c r="L112" s="24" t="e">
        <f>#REF!</f>
        <v>#REF!</v>
      </c>
      <c r="M112" s="184"/>
      <c r="N112" s="185"/>
      <c r="O112" s="25">
        <f>I112-K112-J112</f>
        <v>0</v>
      </c>
      <c r="P112" s="26">
        <f t="shared" si="56"/>
        <v>30.31361154021381</v>
      </c>
      <c r="Q112" s="331"/>
      <c r="R112" s="331"/>
      <c r="Z112" s="15"/>
      <c r="AA112" s="15"/>
      <c r="AB112" s="15"/>
      <c r="AC112" s="15"/>
      <c r="AD112" s="15"/>
    </row>
    <row r="113" spans="1:50" s="2" customFormat="1" ht="80.25" customHeight="1" x14ac:dyDescent="0.25">
      <c r="A113" s="190" t="s">
        <v>117</v>
      </c>
      <c r="B113" s="41" t="s">
        <v>9</v>
      </c>
      <c r="C113" s="41" t="s">
        <v>12</v>
      </c>
      <c r="D113" s="41" t="s">
        <v>12</v>
      </c>
      <c r="E113" s="41" t="s">
        <v>90</v>
      </c>
      <c r="F113" s="41"/>
      <c r="G113" s="16"/>
      <c r="H113" s="16"/>
      <c r="I113" s="17">
        <f>I114+I115</f>
        <v>65000</v>
      </c>
      <c r="J113" s="17">
        <f t="shared" ref="J113:K113" si="58">J114+J115</f>
        <v>25000</v>
      </c>
      <c r="K113" s="17">
        <f t="shared" si="58"/>
        <v>40000</v>
      </c>
      <c r="L113" s="69"/>
      <c r="M113" s="186"/>
      <c r="N113" s="187"/>
      <c r="O113" s="20">
        <v>0</v>
      </c>
      <c r="P113" s="21">
        <f t="shared" si="56"/>
        <v>38.461538461538467</v>
      </c>
      <c r="Q113" s="331"/>
      <c r="R113" s="331"/>
      <c r="S113" s="1"/>
      <c r="T113" s="15"/>
      <c r="U113" s="15"/>
      <c r="V113" s="15"/>
      <c r="W113" s="15"/>
      <c r="X113" s="15"/>
      <c r="Y113" s="1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" customFormat="1" ht="39.75" customHeight="1" x14ac:dyDescent="0.25">
      <c r="A114" s="175" t="s">
        <v>109</v>
      </c>
      <c r="B114" s="22" t="s">
        <v>9</v>
      </c>
      <c r="C114" s="22" t="s">
        <v>12</v>
      </c>
      <c r="D114" s="22" t="s">
        <v>12</v>
      </c>
      <c r="E114" s="43" t="s">
        <v>90</v>
      </c>
      <c r="F114" s="22" t="s">
        <v>63</v>
      </c>
      <c r="G114" s="22" t="s">
        <v>104</v>
      </c>
      <c r="H114" s="22"/>
      <c r="I114" s="23">
        <v>22000</v>
      </c>
      <c r="J114" s="34">
        <v>17000</v>
      </c>
      <c r="K114" s="35">
        <f>I114-J114</f>
        <v>5000</v>
      </c>
      <c r="L114" s="57"/>
      <c r="M114" s="188"/>
      <c r="N114" s="189"/>
      <c r="O114" s="25">
        <f>O115</f>
        <v>0</v>
      </c>
      <c r="P114" s="26">
        <f t="shared" si="56"/>
        <v>77.272727272727266</v>
      </c>
      <c r="Q114" s="331"/>
      <c r="R114" s="331"/>
      <c r="S114" s="1"/>
      <c r="T114" s="15"/>
      <c r="U114" s="15"/>
      <c r="V114" s="15"/>
      <c r="W114" s="15"/>
      <c r="X114" s="15"/>
      <c r="Y114" s="1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" customFormat="1" ht="40.5" customHeight="1" x14ac:dyDescent="0.25">
      <c r="A115" s="175" t="s">
        <v>110</v>
      </c>
      <c r="B115" s="22" t="s">
        <v>9</v>
      </c>
      <c r="C115" s="22" t="s">
        <v>12</v>
      </c>
      <c r="D115" s="22" t="s">
        <v>12</v>
      </c>
      <c r="E115" s="43" t="s">
        <v>90</v>
      </c>
      <c r="F115" s="22" t="s">
        <v>63</v>
      </c>
      <c r="G115" s="22" t="s">
        <v>105</v>
      </c>
      <c r="H115" s="22"/>
      <c r="I115" s="23">
        <v>43000</v>
      </c>
      <c r="J115" s="34">
        <v>8000</v>
      </c>
      <c r="K115" s="35">
        <f>I115-J115</f>
        <v>35000</v>
      </c>
      <c r="L115" s="49"/>
      <c r="M115" s="188"/>
      <c r="N115" s="189"/>
      <c r="O115" s="25">
        <f>I115-J115-K115</f>
        <v>0</v>
      </c>
      <c r="P115" s="26">
        <f t="shared" si="56"/>
        <v>18.604651162790699</v>
      </c>
      <c r="Q115" s="331"/>
      <c r="R115" s="331"/>
      <c r="S115" s="1"/>
      <c r="T115" s="15"/>
      <c r="U115" s="15"/>
      <c r="V115" s="15"/>
      <c r="W115" s="15"/>
      <c r="X115" s="15"/>
      <c r="Y115" s="1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" customFormat="1" ht="91.5" customHeight="1" x14ac:dyDescent="0.25">
      <c r="A116" s="190" t="s">
        <v>118</v>
      </c>
      <c r="B116" s="41" t="s">
        <v>9</v>
      </c>
      <c r="C116" s="41" t="s">
        <v>12</v>
      </c>
      <c r="D116" s="41" t="s">
        <v>12</v>
      </c>
      <c r="E116" s="16" t="s">
        <v>115</v>
      </c>
      <c r="F116" s="41"/>
      <c r="G116" s="16"/>
      <c r="H116" s="16"/>
      <c r="I116" s="17">
        <f>I117+I118</f>
        <v>13000</v>
      </c>
      <c r="J116" s="17">
        <f t="shared" ref="J116:K116" si="59">J117+J118</f>
        <v>8000</v>
      </c>
      <c r="K116" s="17">
        <f t="shared" si="59"/>
        <v>5000</v>
      </c>
      <c r="L116" s="69"/>
      <c r="M116" s="186"/>
      <c r="N116" s="187"/>
      <c r="O116" s="20">
        <v>0</v>
      </c>
      <c r="P116" s="21">
        <f t="shared" si="56"/>
        <v>61.53846153846154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39.75" customHeight="1" x14ac:dyDescent="0.25">
      <c r="A117" s="175" t="s">
        <v>109</v>
      </c>
      <c r="B117" s="22" t="s">
        <v>9</v>
      </c>
      <c r="C117" s="22" t="s">
        <v>12</v>
      </c>
      <c r="D117" s="22" t="s">
        <v>12</v>
      </c>
      <c r="E117" s="43" t="s">
        <v>115</v>
      </c>
      <c r="F117" s="22" t="s">
        <v>63</v>
      </c>
      <c r="G117" s="22" t="s">
        <v>104</v>
      </c>
      <c r="H117" s="22"/>
      <c r="I117" s="23">
        <v>7000</v>
      </c>
      <c r="J117" s="34">
        <v>2000</v>
      </c>
      <c r="K117" s="35">
        <f>I117-J117</f>
        <v>5000</v>
      </c>
      <c r="L117" s="57"/>
      <c r="M117" s="188"/>
      <c r="N117" s="189"/>
      <c r="O117" s="25">
        <f>O118</f>
        <v>0</v>
      </c>
      <c r="P117" s="26">
        <f t="shared" si="56"/>
        <v>28.571428571428569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40.5" customHeight="1" x14ac:dyDescent="0.25">
      <c r="A118" s="175" t="s">
        <v>110</v>
      </c>
      <c r="B118" s="22" t="s">
        <v>9</v>
      </c>
      <c r="C118" s="22" t="s">
        <v>12</v>
      </c>
      <c r="D118" s="22" t="s">
        <v>12</v>
      </c>
      <c r="E118" s="43" t="s">
        <v>115</v>
      </c>
      <c r="F118" s="22" t="s">
        <v>63</v>
      </c>
      <c r="G118" s="22" t="s">
        <v>105</v>
      </c>
      <c r="H118" s="22"/>
      <c r="I118" s="23">
        <v>6000</v>
      </c>
      <c r="J118" s="34">
        <v>6000</v>
      </c>
      <c r="K118" s="35">
        <f>I118-J118</f>
        <v>0</v>
      </c>
      <c r="L118" s="49"/>
      <c r="M118" s="188"/>
      <c r="N118" s="189"/>
      <c r="O118" s="25">
        <f>I118-J118-K118</f>
        <v>0</v>
      </c>
      <c r="P118" s="26">
        <f t="shared" si="56"/>
        <v>100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88.5" customHeight="1" x14ac:dyDescent="0.25">
      <c r="A119" s="190" t="s">
        <v>119</v>
      </c>
      <c r="B119" s="41" t="s">
        <v>9</v>
      </c>
      <c r="C119" s="41" t="s">
        <v>12</v>
      </c>
      <c r="D119" s="41" t="s">
        <v>85</v>
      </c>
      <c r="E119" s="16" t="s">
        <v>116</v>
      </c>
      <c r="F119" s="41"/>
      <c r="G119" s="16"/>
      <c r="H119" s="16"/>
      <c r="I119" s="17">
        <f>I120+I121</f>
        <v>27000</v>
      </c>
      <c r="J119" s="17">
        <f t="shared" ref="J119:K119" si="60">J120+J121</f>
        <v>17000</v>
      </c>
      <c r="K119" s="17">
        <f t="shared" si="60"/>
        <v>10000</v>
      </c>
      <c r="L119" s="69"/>
      <c r="M119" s="186"/>
      <c r="N119" s="187"/>
      <c r="O119" s="20">
        <v>0</v>
      </c>
      <c r="P119" s="21">
        <f t="shared" si="56"/>
        <v>62.962962962962962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39.75" customHeight="1" x14ac:dyDescent="0.25">
      <c r="A120" s="175" t="s">
        <v>109</v>
      </c>
      <c r="B120" s="22" t="s">
        <v>9</v>
      </c>
      <c r="C120" s="22" t="s">
        <v>12</v>
      </c>
      <c r="D120" s="22" t="s">
        <v>85</v>
      </c>
      <c r="E120" s="43" t="s">
        <v>116</v>
      </c>
      <c r="F120" s="22" t="s">
        <v>63</v>
      </c>
      <c r="G120" s="22" t="s">
        <v>104</v>
      </c>
      <c r="H120" s="22"/>
      <c r="I120" s="23">
        <v>7000</v>
      </c>
      <c r="J120" s="34">
        <v>3000</v>
      </c>
      <c r="K120" s="35">
        <f>I120-J120</f>
        <v>4000</v>
      </c>
      <c r="L120" s="57"/>
      <c r="M120" s="188"/>
      <c r="N120" s="189"/>
      <c r="O120" s="25">
        <f>O121</f>
        <v>0</v>
      </c>
      <c r="P120" s="26">
        <f t="shared" si="56"/>
        <v>42.857142857142854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40.5" customHeight="1" x14ac:dyDescent="0.25">
      <c r="A121" s="175" t="s">
        <v>110</v>
      </c>
      <c r="B121" s="22" t="s">
        <v>9</v>
      </c>
      <c r="C121" s="22" t="s">
        <v>12</v>
      </c>
      <c r="D121" s="22" t="s">
        <v>85</v>
      </c>
      <c r="E121" s="43" t="s">
        <v>116</v>
      </c>
      <c r="F121" s="22" t="s">
        <v>63</v>
      </c>
      <c r="G121" s="22" t="s">
        <v>105</v>
      </c>
      <c r="H121" s="22"/>
      <c r="I121" s="23">
        <v>20000</v>
      </c>
      <c r="J121" s="34">
        <v>14000</v>
      </c>
      <c r="K121" s="35">
        <f>I121-J121</f>
        <v>6000</v>
      </c>
      <c r="L121" s="49"/>
      <c r="M121" s="188"/>
      <c r="N121" s="189"/>
      <c r="O121" s="25">
        <f>I121-J121-K121</f>
        <v>0</v>
      </c>
      <c r="P121" s="26">
        <f t="shared" si="56"/>
        <v>70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59.25" customHeight="1" x14ac:dyDescent="0.25">
      <c r="A122" s="86" t="s">
        <v>67</v>
      </c>
      <c r="B122" s="41" t="s">
        <v>9</v>
      </c>
      <c r="C122" s="41" t="s">
        <v>68</v>
      </c>
      <c r="D122" s="41" t="s">
        <v>69</v>
      </c>
      <c r="E122" s="41" t="s">
        <v>70</v>
      </c>
      <c r="F122" s="41"/>
      <c r="G122" s="41"/>
      <c r="H122" s="41"/>
      <c r="I122" s="17">
        <f>I123+I125+I127+I128+I124+I126</f>
        <v>65000</v>
      </c>
      <c r="J122" s="17">
        <f>J123+J125+J127+J128+J124+J126</f>
        <v>40352</v>
      </c>
      <c r="K122" s="17">
        <f>K123+K125+K127+K128+K124+K126</f>
        <v>24648</v>
      </c>
      <c r="L122" s="17" t="e">
        <f>L123+#REF!+#REF!</f>
        <v>#REF!</v>
      </c>
      <c r="M122" s="17" t="e">
        <f>M123+#REF!+#REF!</f>
        <v>#REF!</v>
      </c>
      <c r="N122" s="17" t="e">
        <f>N123+#REF!+#REF!</f>
        <v>#REF!</v>
      </c>
      <c r="O122" s="89">
        <f>I122-J122-K122</f>
        <v>0</v>
      </c>
      <c r="P122" s="21">
        <f t="shared" si="56"/>
        <v>62.08</v>
      </c>
      <c r="Q122" s="331"/>
      <c r="R122" s="33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18.75" x14ac:dyDescent="0.25">
      <c r="A123" s="175" t="s">
        <v>43</v>
      </c>
      <c r="B123" s="22" t="s">
        <v>9</v>
      </c>
      <c r="C123" s="22" t="s">
        <v>68</v>
      </c>
      <c r="D123" s="22" t="s">
        <v>69</v>
      </c>
      <c r="E123" s="22" t="s">
        <v>70</v>
      </c>
      <c r="F123" s="22" t="s">
        <v>63</v>
      </c>
      <c r="G123" s="22" t="s">
        <v>44</v>
      </c>
      <c r="H123" s="22"/>
      <c r="I123" s="23">
        <v>32600</v>
      </c>
      <c r="J123" s="23">
        <v>32000</v>
      </c>
      <c r="K123" s="23">
        <f>I123-J123</f>
        <v>600</v>
      </c>
      <c r="L123" s="93"/>
      <c r="M123" s="188"/>
      <c r="N123" s="189"/>
      <c r="O123" s="25">
        <f>I123-J123-K123</f>
        <v>0</v>
      </c>
      <c r="P123" s="26">
        <f>J123/I123*100</f>
        <v>98.159509202453989</v>
      </c>
      <c r="Q123" s="331"/>
      <c r="R123" s="331"/>
      <c r="S123" s="15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18.75" x14ac:dyDescent="0.25">
      <c r="A124" s="175" t="s">
        <v>123</v>
      </c>
      <c r="B124" s="22" t="s">
        <v>9</v>
      </c>
      <c r="C124" s="22" t="s">
        <v>68</v>
      </c>
      <c r="D124" s="22" t="s">
        <v>69</v>
      </c>
      <c r="E124" s="22" t="s">
        <v>70</v>
      </c>
      <c r="F124" s="22" t="s">
        <v>63</v>
      </c>
      <c r="G124" s="22" t="s">
        <v>124</v>
      </c>
      <c r="H124" s="22"/>
      <c r="I124" s="23">
        <v>7500</v>
      </c>
      <c r="J124" s="34">
        <v>600</v>
      </c>
      <c r="K124" s="23">
        <f t="shared" ref="K124:K128" si="61">I124-J124</f>
        <v>6900</v>
      </c>
      <c r="L124" s="93"/>
      <c r="M124" s="188"/>
      <c r="N124" s="189"/>
      <c r="O124" s="25">
        <f t="shared" ref="O124:O136" si="62">I124-J124-K124</f>
        <v>0</v>
      </c>
      <c r="P124" s="26">
        <f>J124/I124*100</f>
        <v>8</v>
      </c>
      <c r="Q124" s="338"/>
      <c r="R124" s="339"/>
      <c r="S124" s="15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37.5" x14ac:dyDescent="0.25">
      <c r="A125" s="175" t="s">
        <v>106</v>
      </c>
      <c r="B125" s="22" t="s">
        <v>9</v>
      </c>
      <c r="C125" s="22" t="s">
        <v>68</v>
      </c>
      <c r="D125" s="22" t="s">
        <v>69</v>
      </c>
      <c r="E125" s="22" t="s">
        <v>70</v>
      </c>
      <c r="F125" s="22" t="s">
        <v>63</v>
      </c>
      <c r="G125" s="22" t="s">
        <v>101</v>
      </c>
      <c r="H125" s="22"/>
      <c r="I125" s="23">
        <v>2500</v>
      </c>
      <c r="J125" s="34">
        <v>0</v>
      </c>
      <c r="K125" s="23">
        <f t="shared" si="61"/>
        <v>2500</v>
      </c>
      <c r="L125" s="93"/>
      <c r="M125" s="188"/>
      <c r="N125" s="189"/>
      <c r="O125" s="25">
        <f t="shared" si="62"/>
        <v>0</v>
      </c>
      <c r="P125" s="26">
        <v>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18.75" x14ac:dyDescent="0.25">
      <c r="A126" s="175" t="s">
        <v>108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103</v>
      </c>
      <c r="H126" s="22"/>
      <c r="I126" s="23">
        <v>0</v>
      </c>
      <c r="J126" s="34">
        <v>0</v>
      </c>
      <c r="K126" s="23">
        <f t="shared" si="61"/>
        <v>0</v>
      </c>
      <c r="L126" s="93"/>
      <c r="M126" s="188"/>
      <c r="N126" s="189"/>
      <c r="O126" s="25">
        <f t="shared" si="62"/>
        <v>0</v>
      </c>
      <c r="P126" s="26"/>
      <c r="Q126" s="234"/>
      <c r="R126" s="23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37.5" customHeight="1" x14ac:dyDescent="0.25">
      <c r="A127" s="175" t="s">
        <v>109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104</v>
      </c>
      <c r="H127" s="22"/>
      <c r="I127" s="23">
        <v>12400</v>
      </c>
      <c r="J127" s="34">
        <v>0</v>
      </c>
      <c r="K127" s="23">
        <f t="shared" si="61"/>
        <v>12400</v>
      </c>
      <c r="L127" s="93"/>
      <c r="M127" s="188"/>
      <c r="N127" s="189"/>
      <c r="O127" s="25">
        <f t="shared" si="62"/>
        <v>0</v>
      </c>
      <c r="P127" s="26">
        <v>0</v>
      </c>
      <c r="Q127" s="331"/>
      <c r="R127" s="33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37.5" x14ac:dyDescent="0.25">
      <c r="A128" s="175" t="s">
        <v>110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105</v>
      </c>
      <c r="H128" s="22"/>
      <c r="I128" s="23">
        <v>10000</v>
      </c>
      <c r="J128" s="34">
        <v>7752</v>
      </c>
      <c r="K128" s="23">
        <f t="shared" si="61"/>
        <v>2248</v>
      </c>
      <c r="L128" s="93"/>
      <c r="M128" s="188"/>
      <c r="N128" s="189"/>
      <c r="O128" s="25">
        <f t="shared" si="62"/>
        <v>0</v>
      </c>
      <c r="P128" s="26">
        <f t="shared" ref="P128:P149" si="63">J128/I128*100</f>
        <v>77.52</v>
      </c>
      <c r="Q128" s="331"/>
      <c r="R128" s="3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82.5" hidden="1" customHeight="1" x14ac:dyDescent="0.25">
      <c r="A129" s="190" t="s">
        <v>125</v>
      </c>
      <c r="B129" s="41" t="s">
        <v>9</v>
      </c>
      <c r="C129" s="41" t="s">
        <v>12</v>
      </c>
      <c r="D129" s="41" t="s">
        <v>12</v>
      </c>
      <c r="E129" s="41" t="s">
        <v>126</v>
      </c>
      <c r="F129" s="41"/>
      <c r="G129" s="16"/>
      <c r="H129" s="16"/>
      <c r="I129" s="17">
        <f>I130+I131</f>
        <v>0</v>
      </c>
      <c r="J129" s="17">
        <f t="shared" ref="J129:K129" si="64">J130+J131</f>
        <v>0</v>
      </c>
      <c r="K129" s="17">
        <f t="shared" si="64"/>
        <v>0</v>
      </c>
      <c r="L129" s="69"/>
      <c r="M129" s="186"/>
      <c r="N129" s="187"/>
      <c r="O129" s="20">
        <f t="shared" si="62"/>
        <v>0</v>
      </c>
      <c r="P129" s="21" t="e">
        <f t="shared" si="63"/>
        <v>#DIV/0!</v>
      </c>
      <c r="Q129" s="321"/>
      <c r="R129" s="32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18.75" hidden="1" x14ac:dyDescent="0.25">
      <c r="A130" s="175" t="s">
        <v>27</v>
      </c>
      <c r="B130" s="22" t="s">
        <v>9</v>
      </c>
      <c r="C130" s="22" t="s">
        <v>12</v>
      </c>
      <c r="D130" s="22" t="s">
        <v>12</v>
      </c>
      <c r="E130" s="43" t="s">
        <v>126</v>
      </c>
      <c r="F130" s="22" t="s">
        <v>63</v>
      </c>
      <c r="G130" s="22" t="s">
        <v>28</v>
      </c>
      <c r="H130" s="22"/>
      <c r="I130" s="121">
        <v>0</v>
      </c>
      <c r="J130" s="122">
        <v>0</v>
      </c>
      <c r="K130" s="35">
        <f>I130-J130</f>
        <v>0</v>
      </c>
      <c r="L130" s="57"/>
      <c r="M130" s="188"/>
      <c r="N130" s="189"/>
      <c r="O130" s="25">
        <f t="shared" si="62"/>
        <v>0</v>
      </c>
      <c r="P130" s="26" t="e">
        <f t="shared" si="63"/>
        <v>#DIV/0!</v>
      </c>
      <c r="Q130" s="325"/>
      <c r="R130" s="326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18.75" hidden="1" x14ac:dyDescent="0.25">
      <c r="A131" s="99" t="s">
        <v>31</v>
      </c>
      <c r="B131" s="22" t="s">
        <v>9</v>
      </c>
      <c r="C131" s="22" t="s">
        <v>12</v>
      </c>
      <c r="D131" s="22" t="s">
        <v>12</v>
      </c>
      <c r="E131" s="43" t="s">
        <v>126</v>
      </c>
      <c r="F131" s="22" t="s">
        <v>63</v>
      </c>
      <c r="G131" s="22" t="s">
        <v>32</v>
      </c>
      <c r="H131" s="22"/>
      <c r="I131" s="121">
        <v>0</v>
      </c>
      <c r="J131" s="122">
        <v>0</v>
      </c>
      <c r="K131" s="35">
        <f>I131-J131</f>
        <v>0</v>
      </c>
      <c r="L131" s="49"/>
      <c r="M131" s="188"/>
      <c r="N131" s="189"/>
      <c r="O131" s="25">
        <f t="shared" si="62"/>
        <v>0</v>
      </c>
      <c r="P131" s="26" t="e">
        <f t="shared" si="63"/>
        <v>#DIV/0!</v>
      </c>
      <c r="Q131" s="323"/>
      <c r="R131" s="3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65.25" customHeight="1" x14ac:dyDescent="0.25">
      <c r="A132" s="199" t="s">
        <v>142</v>
      </c>
      <c r="B132" s="104" t="s">
        <v>9</v>
      </c>
      <c r="C132" s="104" t="s">
        <v>68</v>
      </c>
      <c r="D132" s="104" t="s">
        <v>14</v>
      </c>
      <c r="E132" s="104" t="s">
        <v>137</v>
      </c>
      <c r="F132" s="104"/>
      <c r="G132" s="105"/>
      <c r="H132" s="105"/>
      <c r="I132" s="17">
        <f>I133</f>
        <v>40000</v>
      </c>
      <c r="J132" s="17">
        <f t="shared" ref="J132:K132" si="65">J133</f>
        <v>0</v>
      </c>
      <c r="K132" s="17">
        <f t="shared" si="65"/>
        <v>40000</v>
      </c>
      <c r="L132" s="115"/>
      <c r="M132" s="195"/>
      <c r="N132" s="196"/>
      <c r="O132" s="20">
        <f>I132-J132-K132</f>
        <v>0</v>
      </c>
      <c r="P132" s="21">
        <f t="shared" si="63"/>
        <v>0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49.5" customHeight="1" x14ac:dyDescent="0.25">
      <c r="A133" s="175" t="s">
        <v>109</v>
      </c>
      <c r="B133" s="112" t="s">
        <v>9</v>
      </c>
      <c r="C133" s="112" t="s">
        <v>68</v>
      </c>
      <c r="D133" s="112" t="s">
        <v>14</v>
      </c>
      <c r="E133" s="113" t="s">
        <v>137</v>
      </c>
      <c r="F133" s="112" t="s">
        <v>63</v>
      </c>
      <c r="G133" s="112" t="s">
        <v>104</v>
      </c>
      <c r="H133" s="112"/>
      <c r="I133" s="23">
        <v>40000</v>
      </c>
      <c r="J133" s="34">
        <v>0</v>
      </c>
      <c r="K133" s="35">
        <f t="shared" ref="K133:K135" si="66">I133-J133</f>
        <v>40000</v>
      </c>
      <c r="L133" s="114"/>
      <c r="M133" s="188"/>
      <c r="N133" s="189"/>
      <c r="O133" s="25">
        <f t="shared" si="62"/>
        <v>0</v>
      </c>
      <c r="P133" s="26">
        <f t="shared" si="63"/>
        <v>0</v>
      </c>
      <c r="Q133" s="323"/>
      <c r="R133" s="3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60" hidden="1" customHeight="1" x14ac:dyDescent="0.25">
      <c r="A134" s="199" t="s">
        <v>143</v>
      </c>
      <c r="B134" s="104" t="s">
        <v>9</v>
      </c>
      <c r="C134" s="104" t="s">
        <v>12</v>
      </c>
      <c r="D134" s="104" t="s">
        <v>14</v>
      </c>
      <c r="E134" s="104" t="s">
        <v>138</v>
      </c>
      <c r="F134" s="104"/>
      <c r="G134" s="104"/>
      <c r="H134" s="104"/>
      <c r="I134" s="106">
        <f>I135</f>
        <v>0</v>
      </c>
      <c r="J134" s="106">
        <f t="shared" ref="J134:K134" si="67">J135</f>
        <v>0</v>
      </c>
      <c r="K134" s="106">
        <f t="shared" si="67"/>
        <v>0</v>
      </c>
      <c r="L134" s="115"/>
      <c r="M134" s="195"/>
      <c r="N134" s="196"/>
      <c r="O134" s="20">
        <f>I134-J134-K134</f>
        <v>0</v>
      </c>
      <c r="P134" s="21" t="e">
        <f t="shared" si="63"/>
        <v>#DIV/0!</v>
      </c>
      <c r="Q134" s="321"/>
      <c r="R134" s="3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27.75" hidden="1" customHeight="1" x14ac:dyDescent="0.25">
      <c r="A135" s="99" t="s">
        <v>47</v>
      </c>
      <c r="B135" s="112" t="s">
        <v>9</v>
      </c>
      <c r="C135" s="112" t="s">
        <v>12</v>
      </c>
      <c r="D135" s="112" t="s">
        <v>14</v>
      </c>
      <c r="E135" s="113" t="s">
        <v>138</v>
      </c>
      <c r="F135" s="112" t="s">
        <v>63</v>
      </c>
      <c r="G135" s="112" t="s">
        <v>48</v>
      </c>
      <c r="H135" s="112"/>
      <c r="I135" s="118">
        <v>0</v>
      </c>
      <c r="J135" s="158">
        <v>0</v>
      </c>
      <c r="K135" s="118">
        <f t="shared" si="66"/>
        <v>0</v>
      </c>
      <c r="L135" s="114"/>
      <c r="M135" s="188"/>
      <c r="N135" s="189"/>
      <c r="O135" s="119">
        <f t="shared" si="62"/>
        <v>0</v>
      </c>
      <c r="P135" s="120" t="e">
        <f t="shared" si="63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82.5" hidden="1" customHeight="1" x14ac:dyDescent="0.25">
      <c r="A136" s="190" t="s">
        <v>127</v>
      </c>
      <c r="B136" s="104" t="s">
        <v>9</v>
      </c>
      <c r="C136" s="104" t="s">
        <v>12</v>
      </c>
      <c r="D136" s="104" t="s">
        <v>85</v>
      </c>
      <c r="E136" s="104" t="s">
        <v>86</v>
      </c>
      <c r="F136" s="104"/>
      <c r="G136" s="105"/>
      <c r="H136" s="105"/>
      <c r="I136" s="106">
        <f>I137+I138</f>
        <v>0</v>
      </c>
      <c r="J136" s="106">
        <f>J137+J138</f>
        <v>0</v>
      </c>
      <c r="K136" s="106">
        <f>K137+K138</f>
        <v>0</v>
      </c>
      <c r="L136" s="106">
        <f t="shared" ref="L136:N136" si="68">L137</f>
        <v>0</v>
      </c>
      <c r="M136" s="106">
        <f t="shared" si="68"/>
        <v>0</v>
      </c>
      <c r="N136" s="106">
        <f t="shared" si="68"/>
        <v>0</v>
      </c>
      <c r="O136" s="107">
        <f t="shared" si="62"/>
        <v>0</v>
      </c>
      <c r="P136" s="108" t="e">
        <f t="shared" si="63"/>
        <v>#DIV/0!</v>
      </c>
      <c r="Q136" s="321"/>
      <c r="R136" s="32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18.75" hidden="1" x14ac:dyDescent="0.25">
      <c r="A137" s="175" t="s">
        <v>41</v>
      </c>
      <c r="B137" s="22" t="s">
        <v>9</v>
      </c>
      <c r="C137" s="22" t="s">
        <v>12</v>
      </c>
      <c r="D137" s="22" t="s">
        <v>85</v>
      </c>
      <c r="E137" s="22" t="s">
        <v>86</v>
      </c>
      <c r="F137" s="22" t="s">
        <v>63</v>
      </c>
      <c r="G137" s="22" t="s">
        <v>42</v>
      </c>
      <c r="H137" s="22"/>
      <c r="I137" s="121"/>
      <c r="J137" s="121"/>
      <c r="K137" s="23">
        <f>I137-J137</f>
        <v>0</v>
      </c>
      <c r="L137" s="109"/>
      <c r="M137" s="110"/>
      <c r="N137" s="111"/>
      <c r="O137" s="25">
        <f>I137-J137-K137</f>
        <v>0</v>
      </c>
      <c r="P137" s="26" t="e">
        <f t="shared" si="63"/>
        <v>#DIV/0!</v>
      </c>
      <c r="Q137" s="323"/>
      <c r="R137" s="3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18.75" hidden="1" x14ac:dyDescent="0.25">
      <c r="A138" s="99" t="s">
        <v>47</v>
      </c>
      <c r="B138" s="22" t="s">
        <v>9</v>
      </c>
      <c r="C138" s="22" t="s">
        <v>12</v>
      </c>
      <c r="D138" s="22" t="s">
        <v>85</v>
      </c>
      <c r="E138" s="22" t="s">
        <v>86</v>
      </c>
      <c r="F138" s="22" t="s">
        <v>63</v>
      </c>
      <c r="G138" s="22" t="s">
        <v>48</v>
      </c>
      <c r="H138" s="22"/>
      <c r="I138" s="121"/>
      <c r="J138" s="121">
        <v>0</v>
      </c>
      <c r="K138" s="23">
        <f>I138-J138</f>
        <v>0</v>
      </c>
      <c r="L138" s="109"/>
      <c r="M138" s="110"/>
      <c r="N138" s="111"/>
      <c r="O138" s="25">
        <f t="shared" ref="O138" si="69">I138-J138-K138</f>
        <v>0</v>
      </c>
      <c r="P138" s="26" t="e">
        <f t="shared" si="63"/>
        <v>#DIV/0!</v>
      </c>
      <c r="Q138" s="232"/>
      <c r="R138" s="23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60" hidden="1" customHeight="1" x14ac:dyDescent="0.25">
      <c r="A139" s="40" t="s">
        <v>139</v>
      </c>
      <c r="B139" s="104" t="s">
        <v>9</v>
      </c>
      <c r="C139" s="104" t="s">
        <v>12</v>
      </c>
      <c r="D139" s="104" t="s">
        <v>14</v>
      </c>
      <c r="E139" s="104" t="s">
        <v>135</v>
      </c>
      <c r="F139" s="104"/>
      <c r="G139" s="104"/>
      <c r="H139" s="104"/>
      <c r="I139" s="106">
        <f>I140</f>
        <v>0</v>
      </c>
      <c r="J139" s="106">
        <f t="shared" ref="J139:K139" si="70">J140</f>
        <v>0</v>
      </c>
      <c r="K139" s="106">
        <f t="shared" si="70"/>
        <v>0</v>
      </c>
      <c r="L139" s="115"/>
      <c r="M139" s="195"/>
      <c r="N139" s="196"/>
      <c r="O139" s="20">
        <f>I139-J139-K139</f>
        <v>0</v>
      </c>
      <c r="P139" s="21" t="e">
        <f t="shared" si="63"/>
        <v>#DIV/0!</v>
      </c>
      <c r="Q139" s="321"/>
      <c r="R139" s="32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10.5" hidden="1" customHeight="1" x14ac:dyDescent="0.25">
      <c r="A140" s="99" t="s">
        <v>47</v>
      </c>
      <c r="B140" s="112" t="s">
        <v>9</v>
      </c>
      <c r="C140" s="112" t="s">
        <v>12</v>
      </c>
      <c r="D140" s="112" t="s">
        <v>14</v>
      </c>
      <c r="E140" s="105" t="s">
        <v>144</v>
      </c>
      <c r="F140" s="112" t="s">
        <v>63</v>
      </c>
      <c r="G140" s="112" t="s">
        <v>48</v>
      </c>
      <c r="H140" s="112"/>
      <c r="I140" s="123">
        <v>0</v>
      </c>
      <c r="J140" s="124">
        <v>0</v>
      </c>
      <c r="K140" s="118">
        <f t="shared" ref="K140" si="71">I140-J140</f>
        <v>0</v>
      </c>
      <c r="L140" s="114"/>
      <c r="M140" s="188"/>
      <c r="N140" s="189"/>
      <c r="O140" s="119">
        <f t="shared" ref="O140:O142" si="72">I140-J140-K140</f>
        <v>0</v>
      </c>
      <c r="P140" s="120" t="e">
        <f t="shared" si="63"/>
        <v>#DIV/0!</v>
      </c>
      <c r="Q140" s="323"/>
      <c r="R140" s="32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16.25" customHeight="1" x14ac:dyDescent="0.25">
      <c r="A141" s="190" t="s">
        <v>154</v>
      </c>
      <c r="B141" s="41" t="s">
        <v>9</v>
      </c>
      <c r="C141" s="41" t="s">
        <v>12</v>
      </c>
      <c r="D141" s="41" t="s">
        <v>14</v>
      </c>
      <c r="E141" s="41" t="s">
        <v>155</v>
      </c>
      <c r="F141" s="41"/>
      <c r="G141" s="41"/>
      <c r="H141" s="41"/>
      <c r="I141" s="56">
        <f>I142</f>
        <v>9742.86</v>
      </c>
      <c r="J141" s="55">
        <f>J142</f>
        <v>2675.58</v>
      </c>
      <c r="K141" s="55">
        <f>I141-J141</f>
        <v>7067.2800000000007</v>
      </c>
      <c r="L141" s="18" t="e">
        <f>L142</f>
        <v>#REF!</v>
      </c>
      <c r="M141" s="186"/>
      <c r="N141" s="187"/>
      <c r="O141" s="20">
        <f t="shared" si="72"/>
        <v>0</v>
      </c>
      <c r="P141" s="21">
        <f>J141/I141*100</f>
        <v>27.461956756024406</v>
      </c>
      <c r="Q141" s="331"/>
      <c r="R141" s="331"/>
      <c r="S141" s="15"/>
    </row>
    <row r="142" spans="1:50" ht="18.75" x14ac:dyDescent="0.25">
      <c r="A142" s="99" t="s">
        <v>113</v>
      </c>
      <c r="B142" s="22" t="s">
        <v>9</v>
      </c>
      <c r="C142" s="22" t="s">
        <v>12</v>
      </c>
      <c r="D142" s="22" t="s">
        <v>14</v>
      </c>
      <c r="E142" s="22" t="s">
        <v>155</v>
      </c>
      <c r="F142" s="22" t="s">
        <v>63</v>
      </c>
      <c r="G142" s="22" t="s">
        <v>114</v>
      </c>
      <c r="H142" s="22"/>
      <c r="I142" s="23">
        <v>9742.86</v>
      </c>
      <c r="J142" s="34">
        <v>2675.58</v>
      </c>
      <c r="K142" s="34">
        <f>I142-J142</f>
        <v>7067.2800000000007</v>
      </c>
      <c r="L142" s="24" t="e">
        <f>#REF!</f>
        <v>#REF!</v>
      </c>
      <c r="M142" s="184"/>
      <c r="N142" s="185"/>
      <c r="O142" s="25">
        <f t="shared" si="72"/>
        <v>0</v>
      </c>
      <c r="P142" s="26">
        <f>J142/I142*100</f>
        <v>27.461956756024406</v>
      </c>
      <c r="Q142" s="331"/>
      <c r="R142" s="331"/>
      <c r="Z142" s="15"/>
      <c r="AA142" s="15"/>
      <c r="AB142" s="15"/>
      <c r="AC142" s="15"/>
      <c r="AD142" s="15"/>
    </row>
    <row r="143" spans="1:50" s="2" customFormat="1" ht="60" customHeight="1" x14ac:dyDescent="0.25">
      <c r="A143" s="199" t="s">
        <v>145</v>
      </c>
      <c r="B143" s="104" t="s">
        <v>9</v>
      </c>
      <c r="C143" s="104" t="s">
        <v>12</v>
      </c>
      <c r="D143" s="104" t="s">
        <v>12</v>
      </c>
      <c r="E143" s="104" t="s">
        <v>126</v>
      </c>
      <c r="F143" s="104"/>
      <c r="G143" s="104"/>
      <c r="H143" s="104"/>
      <c r="I143" s="106">
        <f>I144+I145</f>
        <v>130000</v>
      </c>
      <c r="J143" s="106">
        <f>J145+J144</f>
        <v>0</v>
      </c>
      <c r="K143" s="106">
        <f>K145+K144</f>
        <v>130000</v>
      </c>
      <c r="L143" s="115"/>
      <c r="M143" s="195"/>
      <c r="N143" s="196"/>
      <c r="O143" s="20">
        <f>I143-J143-K143</f>
        <v>0</v>
      </c>
      <c r="P143" s="21">
        <f t="shared" si="63"/>
        <v>0</v>
      </c>
      <c r="Q143" s="321"/>
      <c r="R143" s="3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33" customHeight="1" x14ac:dyDescent="0.25">
      <c r="A144" s="194" t="s">
        <v>27</v>
      </c>
      <c r="B144" s="112" t="s">
        <v>9</v>
      </c>
      <c r="C144" s="112" t="s">
        <v>12</v>
      </c>
      <c r="D144" s="112" t="s">
        <v>12</v>
      </c>
      <c r="E144" s="112" t="s">
        <v>126</v>
      </c>
      <c r="F144" s="112" t="s">
        <v>63</v>
      </c>
      <c r="G144" s="112" t="s">
        <v>28</v>
      </c>
      <c r="H144" s="129"/>
      <c r="I144" s="116">
        <v>99846.39</v>
      </c>
      <c r="J144" s="117">
        <v>0</v>
      </c>
      <c r="K144" s="116">
        <f>I144-J144</f>
        <v>99846.39</v>
      </c>
      <c r="L144" s="131"/>
      <c r="M144" s="184"/>
      <c r="N144" s="185"/>
      <c r="O144" s="119">
        <f t="shared" ref="O144:O145" si="73">I144-J144-K144</f>
        <v>0</v>
      </c>
      <c r="P144" s="120">
        <f t="shared" si="63"/>
        <v>0</v>
      </c>
      <c r="Q144" s="325"/>
      <c r="R144" s="326"/>
    </row>
    <row r="145" spans="1:50" s="2" customFormat="1" ht="27.75" customHeight="1" x14ac:dyDescent="0.25">
      <c r="A145" s="175" t="s">
        <v>31</v>
      </c>
      <c r="B145" s="112" t="s">
        <v>9</v>
      </c>
      <c r="C145" s="112" t="s">
        <v>12</v>
      </c>
      <c r="D145" s="112" t="s">
        <v>12</v>
      </c>
      <c r="E145" s="112" t="s">
        <v>126</v>
      </c>
      <c r="F145" s="112" t="s">
        <v>63</v>
      </c>
      <c r="G145" s="112" t="s">
        <v>32</v>
      </c>
      <c r="H145" s="112"/>
      <c r="I145" s="116">
        <v>30153.61</v>
      </c>
      <c r="J145" s="117">
        <v>0</v>
      </c>
      <c r="K145" s="116">
        <f>I145-J145</f>
        <v>30153.61</v>
      </c>
      <c r="L145" s="131"/>
      <c r="M145" s="182"/>
      <c r="N145" s="183"/>
      <c r="O145" s="119">
        <f t="shared" si="73"/>
        <v>0</v>
      </c>
      <c r="P145" s="120">
        <f t="shared" si="63"/>
        <v>0</v>
      </c>
      <c r="Q145" s="323"/>
      <c r="R145" s="3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" customFormat="1" ht="60" hidden="1" customHeight="1" x14ac:dyDescent="0.25">
      <c r="A146" s="199" t="s">
        <v>148</v>
      </c>
      <c r="B146" s="104" t="s">
        <v>9</v>
      </c>
      <c r="C146" s="104" t="s">
        <v>12</v>
      </c>
      <c r="D146" s="104" t="s">
        <v>85</v>
      </c>
      <c r="E146" s="104" t="s">
        <v>147</v>
      </c>
      <c r="F146" s="104"/>
      <c r="G146" s="104"/>
      <c r="H146" s="104"/>
      <c r="I146" s="106">
        <f>I147</f>
        <v>0</v>
      </c>
      <c r="J146" s="106">
        <f t="shared" ref="J146:K148" si="74">J147</f>
        <v>0</v>
      </c>
      <c r="K146" s="106">
        <f t="shared" si="74"/>
        <v>0</v>
      </c>
      <c r="L146" s="115"/>
      <c r="M146" s="195"/>
      <c r="N146" s="196"/>
      <c r="O146" s="20">
        <f>I146-J146-K146</f>
        <v>0</v>
      </c>
      <c r="P146" s="21" t="e">
        <f t="shared" si="63"/>
        <v>#DIV/0!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" customFormat="1" ht="27.75" hidden="1" customHeight="1" x14ac:dyDescent="0.25">
      <c r="A147" s="99" t="s">
        <v>43</v>
      </c>
      <c r="B147" s="112" t="s">
        <v>9</v>
      </c>
      <c r="C147" s="112" t="s">
        <v>12</v>
      </c>
      <c r="D147" s="112" t="s">
        <v>85</v>
      </c>
      <c r="E147" s="105" t="s">
        <v>147</v>
      </c>
      <c r="F147" s="112" t="s">
        <v>63</v>
      </c>
      <c r="G147" s="112" t="s">
        <v>44</v>
      </c>
      <c r="H147" s="112"/>
      <c r="I147" s="118">
        <v>0</v>
      </c>
      <c r="J147" s="158">
        <v>0</v>
      </c>
      <c r="K147" s="118">
        <f t="shared" ref="K147" si="75">I147-J147</f>
        <v>0</v>
      </c>
      <c r="L147" s="114"/>
      <c r="M147" s="188"/>
      <c r="N147" s="189"/>
      <c r="O147" s="119">
        <f t="shared" ref="O147" si="76">I147-J147-K147</f>
        <v>0</v>
      </c>
      <c r="P147" s="120" t="e">
        <f t="shared" si="63"/>
        <v>#DIV/0!</v>
      </c>
      <c r="Q147" s="323"/>
      <c r="R147" s="3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2" customFormat="1" ht="41.25" customHeight="1" x14ac:dyDescent="0.25">
      <c r="A148" s="199" t="s">
        <v>161</v>
      </c>
      <c r="B148" s="104" t="s">
        <v>9</v>
      </c>
      <c r="C148" s="104" t="s">
        <v>12</v>
      </c>
      <c r="D148" s="104" t="s">
        <v>85</v>
      </c>
      <c r="E148" s="104" t="s">
        <v>162</v>
      </c>
      <c r="F148" s="104" t="s">
        <v>63</v>
      </c>
      <c r="G148" s="104" t="s">
        <v>42</v>
      </c>
      <c r="H148" s="104"/>
      <c r="I148" s="106">
        <f>I149</f>
        <v>63000</v>
      </c>
      <c r="J148" s="106">
        <f t="shared" si="74"/>
        <v>63000</v>
      </c>
      <c r="K148" s="106">
        <f t="shared" si="74"/>
        <v>0</v>
      </c>
      <c r="L148" s="115"/>
      <c r="M148" s="195"/>
      <c r="N148" s="196"/>
      <c r="O148" s="20">
        <f>I148-J148-K148</f>
        <v>0</v>
      </c>
      <c r="P148" s="21">
        <f t="shared" si="63"/>
        <v>100</v>
      </c>
      <c r="Q148" s="321"/>
      <c r="R148" s="32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s="2" customFormat="1" ht="27.75" customHeight="1" x14ac:dyDescent="0.25">
      <c r="A149" s="99" t="s">
        <v>43</v>
      </c>
      <c r="B149" s="112" t="s">
        <v>9</v>
      </c>
      <c r="C149" s="112" t="s">
        <v>12</v>
      </c>
      <c r="D149" s="112" t="s">
        <v>85</v>
      </c>
      <c r="E149" s="113" t="s">
        <v>162</v>
      </c>
      <c r="F149" s="112" t="s">
        <v>63</v>
      </c>
      <c r="G149" s="112" t="s">
        <v>42</v>
      </c>
      <c r="H149" s="112"/>
      <c r="I149" s="116">
        <v>63000</v>
      </c>
      <c r="J149" s="117">
        <v>63000</v>
      </c>
      <c r="K149" s="118">
        <f t="shared" ref="K149" si="77">I149-J149</f>
        <v>0</v>
      </c>
      <c r="L149" s="114"/>
      <c r="M149" s="188"/>
      <c r="N149" s="189"/>
      <c r="O149" s="119">
        <f>I149-J149-K149</f>
        <v>0</v>
      </c>
      <c r="P149" s="120">
        <f t="shared" si="63"/>
        <v>100</v>
      </c>
      <c r="Q149" s="323"/>
      <c r="R149" s="3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22.5" customHeight="1" x14ac:dyDescent="0.3">
      <c r="A150" s="333" t="s">
        <v>71</v>
      </c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5"/>
      <c r="Q150" s="336"/>
      <c r="R150" s="337"/>
    </row>
    <row r="151" spans="1:50" ht="78" x14ac:dyDescent="0.25">
      <c r="A151" s="51" t="s">
        <v>8</v>
      </c>
      <c r="B151" s="52" t="s">
        <v>9</v>
      </c>
      <c r="C151" s="52"/>
      <c r="D151" s="52"/>
      <c r="E151" s="52"/>
      <c r="F151" s="52"/>
      <c r="G151" s="52"/>
      <c r="H151" s="52"/>
      <c r="I151" s="53">
        <f>I152+I163+I159+I167+I169+I174+I177+I180+I155+I157</f>
        <v>17139524.57</v>
      </c>
      <c r="J151" s="53">
        <f>J152+J163+J159+J169+J174+J167+J177+J180+J155+J157</f>
        <v>7849777.1400000006</v>
      </c>
      <c r="K151" s="53">
        <f>K152+K163+K159+K167+K169+K174+K177+K180+K155+K157</f>
        <v>9289747.4299999997</v>
      </c>
      <c r="L151" s="53" t="e">
        <f>L152+L163</f>
        <v>#REF!</v>
      </c>
      <c r="M151" s="53" t="e">
        <f>M152+M163</f>
        <v>#REF!</v>
      </c>
      <c r="N151" s="53" t="e">
        <f>N152+N163</f>
        <v>#REF!</v>
      </c>
      <c r="O151" s="53">
        <f>I151-J151-K151</f>
        <v>0</v>
      </c>
      <c r="P151" s="53">
        <f>P152+P163</f>
        <v>108.44224733411163</v>
      </c>
      <c r="Q151" s="331"/>
      <c r="R151" s="331"/>
    </row>
    <row r="152" spans="1:50" ht="24" customHeight="1" x14ac:dyDescent="0.25">
      <c r="A152" s="173" t="s">
        <v>11</v>
      </c>
      <c r="B152" s="8" t="s">
        <v>9</v>
      </c>
      <c r="C152" s="8" t="s">
        <v>12</v>
      </c>
      <c r="D152" s="8"/>
      <c r="E152" s="8"/>
      <c r="F152" s="8"/>
      <c r="G152" s="8"/>
      <c r="H152" s="8"/>
      <c r="I152" s="9">
        <f>I153</f>
        <v>248300</v>
      </c>
      <c r="J152" s="9">
        <f t="shared" ref="J152:N152" si="78">J153</f>
        <v>167455.26</v>
      </c>
      <c r="K152" s="9">
        <f t="shared" ref="K152:K158" si="79">I152-J152</f>
        <v>80844.739999999991</v>
      </c>
      <c r="L152" s="9" t="e">
        <f t="shared" si="78"/>
        <v>#REF!</v>
      </c>
      <c r="M152" s="9">
        <f t="shared" si="78"/>
        <v>0</v>
      </c>
      <c r="N152" s="9">
        <f t="shared" si="78"/>
        <v>0</v>
      </c>
      <c r="O152" s="9">
        <f t="shared" ref="O152:O172" si="80">I152-J152-K152</f>
        <v>0</v>
      </c>
      <c r="P152" s="12">
        <f t="shared" ref="P152:P161" si="81">J152/I152*100</f>
        <v>67.440700765203388</v>
      </c>
      <c r="Q152" s="331"/>
      <c r="R152" s="331"/>
    </row>
    <row r="153" spans="1:50" ht="102.75" customHeight="1" x14ac:dyDescent="0.25">
      <c r="A153" s="190" t="s">
        <v>153</v>
      </c>
      <c r="B153" s="41" t="s">
        <v>9</v>
      </c>
      <c r="C153" s="41" t="s">
        <v>12</v>
      </c>
      <c r="D153" s="41" t="s">
        <v>14</v>
      </c>
      <c r="E153" s="41" t="s">
        <v>72</v>
      </c>
      <c r="F153" s="41"/>
      <c r="G153" s="41"/>
      <c r="H153" s="41"/>
      <c r="I153" s="56">
        <f>I154</f>
        <v>248300</v>
      </c>
      <c r="J153" s="55">
        <f>J154</f>
        <v>167455.26</v>
      </c>
      <c r="K153" s="55">
        <f t="shared" si="79"/>
        <v>80844.739999999991</v>
      </c>
      <c r="L153" s="18" t="e">
        <f>L154</f>
        <v>#REF!</v>
      </c>
      <c r="M153" s="186"/>
      <c r="N153" s="187"/>
      <c r="O153" s="20">
        <f t="shared" si="80"/>
        <v>0</v>
      </c>
      <c r="P153" s="21">
        <f t="shared" si="81"/>
        <v>67.440700765203388</v>
      </c>
      <c r="Q153" s="331"/>
      <c r="R153" s="331"/>
      <c r="S153" s="15"/>
    </row>
    <row r="154" spans="1:50" ht="18.75" x14ac:dyDescent="0.25">
      <c r="A154" s="99" t="s">
        <v>113</v>
      </c>
      <c r="B154" s="22" t="s">
        <v>9</v>
      </c>
      <c r="C154" s="22" t="s">
        <v>12</v>
      </c>
      <c r="D154" s="22" t="s">
        <v>14</v>
      </c>
      <c r="E154" s="43" t="s">
        <v>72</v>
      </c>
      <c r="F154" s="22" t="s">
        <v>63</v>
      </c>
      <c r="G154" s="22" t="s">
        <v>114</v>
      </c>
      <c r="H154" s="22"/>
      <c r="I154" s="23">
        <v>248300</v>
      </c>
      <c r="J154" s="34">
        <v>167455.26</v>
      </c>
      <c r="K154" s="34">
        <f t="shared" si="79"/>
        <v>80844.739999999991</v>
      </c>
      <c r="L154" s="24" t="e">
        <f>#REF!</f>
        <v>#REF!</v>
      </c>
      <c r="M154" s="184"/>
      <c r="N154" s="185"/>
      <c r="O154" s="25">
        <f t="shared" si="80"/>
        <v>0</v>
      </c>
      <c r="P154" s="26">
        <f t="shared" si="81"/>
        <v>67.440700765203388</v>
      </c>
      <c r="Q154" s="331"/>
      <c r="R154" s="331"/>
      <c r="Z154" s="15"/>
      <c r="AA154" s="15"/>
      <c r="AB154" s="15"/>
      <c r="AC154" s="15"/>
      <c r="AD154" s="15"/>
    </row>
    <row r="155" spans="1:50" ht="131.25" customHeight="1" x14ac:dyDescent="0.25">
      <c r="A155" s="190" t="s">
        <v>154</v>
      </c>
      <c r="B155" s="41" t="s">
        <v>9</v>
      </c>
      <c r="C155" s="41" t="s">
        <v>12</v>
      </c>
      <c r="D155" s="41" t="s">
        <v>14</v>
      </c>
      <c r="E155" s="41" t="s">
        <v>159</v>
      </c>
      <c r="F155" s="41"/>
      <c r="G155" s="41"/>
      <c r="H155" s="41"/>
      <c r="I155" s="56">
        <f>I156</f>
        <v>477400</v>
      </c>
      <c r="J155" s="55">
        <f>J156</f>
        <v>151267.20000000001</v>
      </c>
      <c r="K155" s="55">
        <f t="shared" si="79"/>
        <v>326132.8</v>
      </c>
      <c r="L155" s="18" t="e">
        <f>L156</f>
        <v>#REF!</v>
      </c>
      <c r="M155" s="186"/>
      <c r="N155" s="187"/>
      <c r="O155" s="20">
        <f t="shared" si="80"/>
        <v>0</v>
      </c>
      <c r="P155" s="21">
        <f t="shared" si="81"/>
        <v>31.68563049853373</v>
      </c>
      <c r="Q155" s="331"/>
      <c r="R155" s="331"/>
      <c r="S155" s="15"/>
    </row>
    <row r="156" spans="1:50" ht="18.75" x14ac:dyDescent="0.25">
      <c r="A156" s="99" t="s">
        <v>113</v>
      </c>
      <c r="B156" s="22" t="s">
        <v>9</v>
      </c>
      <c r="C156" s="22" t="s">
        <v>12</v>
      </c>
      <c r="D156" s="22" t="s">
        <v>14</v>
      </c>
      <c r="E156" s="43" t="s">
        <v>159</v>
      </c>
      <c r="F156" s="22" t="s">
        <v>63</v>
      </c>
      <c r="G156" s="22" t="s">
        <v>114</v>
      </c>
      <c r="H156" s="22"/>
      <c r="I156" s="23">
        <v>477400</v>
      </c>
      <c r="J156" s="34">
        <v>151267.20000000001</v>
      </c>
      <c r="K156" s="34">
        <f t="shared" si="79"/>
        <v>326132.8</v>
      </c>
      <c r="L156" s="24" t="e">
        <f>#REF!</f>
        <v>#REF!</v>
      </c>
      <c r="M156" s="184"/>
      <c r="N156" s="185"/>
      <c r="O156" s="25">
        <f t="shared" si="80"/>
        <v>0</v>
      </c>
      <c r="P156" s="26">
        <f t="shared" si="81"/>
        <v>31.68563049853373</v>
      </c>
      <c r="Q156" s="331"/>
      <c r="R156" s="331"/>
      <c r="Z156" s="15"/>
      <c r="AA156" s="15"/>
      <c r="AB156" s="15"/>
      <c r="AC156" s="15"/>
      <c r="AD156" s="15"/>
    </row>
    <row r="157" spans="1:50" ht="117.75" customHeight="1" x14ac:dyDescent="0.25">
      <c r="A157" s="190" t="s">
        <v>154</v>
      </c>
      <c r="B157" s="41" t="s">
        <v>9</v>
      </c>
      <c r="C157" s="41" t="s">
        <v>12</v>
      </c>
      <c r="D157" s="41" t="s">
        <v>14</v>
      </c>
      <c r="E157" s="41" t="s">
        <v>160</v>
      </c>
      <c r="F157" s="41"/>
      <c r="G157" s="41"/>
      <c r="H157" s="41"/>
      <c r="I157" s="56">
        <f>I158</f>
        <v>4563328.57</v>
      </c>
      <c r="J157" s="55">
        <f>J158</f>
        <v>1383624.27</v>
      </c>
      <c r="K157" s="55">
        <f t="shared" si="79"/>
        <v>3179704.3000000003</v>
      </c>
      <c r="L157" s="18" t="e">
        <f>L158</f>
        <v>#REF!</v>
      </c>
      <c r="M157" s="186"/>
      <c r="N157" s="187"/>
      <c r="O157" s="20">
        <f t="shared" si="80"/>
        <v>0</v>
      </c>
      <c r="P157" s="21">
        <f t="shared" si="81"/>
        <v>30.320505060629461</v>
      </c>
      <c r="Q157" s="331"/>
      <c r="R157" s="331"/>
      <c r="S157" s="15"/>
    </row>
    <row r="158" spans="1:50" ht="18.75" x14ac:dyDescent="0.25">
      <c r="A158" s="99" t="s">
        <v>113</v>
      </c>
      <c r="B158" s="22" t="s">
        <v>9</v>
      </c>
      <c r="C158" s="22" t="s">
        <v>12</v>
      </c>
      <c r="D158" s="22" t="s">
        <v>14</v>
      </c>
      <c r="E158" s="43" t="s">
        <v>160</v>
      </c>
      <c r="F158" s="22" t="s">
        <v>22</v>
      </c>
      <c r="G158" s="22" t="s">
        <v>114</v>
      </c>
      <c r="H158" s="22"/>
      <c r="I158" s="23">
        <v>4563328.57</v>
      </c>
      <c r="J158" s="34">
        <v>1383624.27</v>
      </c>
      <c r="K158" s="34">
        <f t="shared" si="79"/>
        <v>3179704.3000000003</v>
      </c>
      <c r="L158" s="24" t="e">
        <f>#REF!</f>
        <v>#REF!</v>
      </c>
      <c r="M158" s="184"/>
      <c r="N158" s="185"/>
      <c r="O158" s="25">
        <f t="shared" si="80"/>
        <v>0</v>
      </c>
      <c r="P158" s="26">
        <f t="shared" si="81"/>
        <v>30.320505060629461</v>
      </c>
      <c r="Q158" s="331"/>
      <c r="R158" s="331"/>
      <c r="Z158" s="15"/>
      <c r="AA158" s="15"/>
      <c r="AB158" s="15"/>
      <c r="AC158" s="15"/>
      <c r="AD158" s="15"/>
    </row>
    <row r="159" spans="1:50" ht="56.25" hidden="1" x14ac:dyDescent="0.25">
      <c r="A159" s="199" t="s">
        <v>143</v>
      </c>
      <c r="B159" s="104" t="s">
        <v>9</v>
      </c>
      <c r="C159" s="104" t="s">
        <v>12</v>
      </c>
      <c r="D159" s="104" t="s">
        <v>14</v>
      </c>
      <c r="E159" s="104" t="s">
        <v>138</v>
      </c>
      <c r="F159" s="104"/>
      <c r="G159" s="104"/>
      <c r="H159" s="104"/>
      <c r="I159" s="106">
        <f>I161+I160+I162</f>
        <v>0</v>
      </c>
      <c r="J159" s="106">
        <f>J161+J160+J162</f>
        <v>0</v>
      </c>
      <c r="K159" s="106">
        <f t="shared" ref="K159" si="82">K161</f>
        <v>0</v>
      </c>
      <c r="L159" s="115"/>
      <c r="M159" s="195"/>
      <c r="N159" s="196"/>
      <c r="O159" s="20">
        <f>I159-J159-K159</f>
        <v>0</v>
      </c>
      <c r="P159" s="21" t="e">
        <f t="shared" si="81"/>
        <v>#DIV/0!</v>
      </c>
      <c r="Q159" s="331"/>
      <c r="R159" s="331"/>
      <c r="Z159" s="15"/>
      <c r="AA159" s="15"/>
      <c r="AB159" s="15"/>
      <c r="AC159" s="15"/>
      <c r="AD159" s="15"/>
    </row>
    <row r="160" spans="1:50" ht="18.75" hidden="1" x14ac:dyDescent="0.25">
      <c r="A160" s="200" t="s">
        <v>43</v>
      </c>
      <c r="B160" s="112" t="s">
        <v>9</v>
      </c>
      <c r="C160" s="112" t="s">
        <v>12</v>
      </c>
      <c r="D160" s="112" t="s">
        <v>14</v>
      </c>
      <c r="E160" s="113" t="s">
        <v>138</v>
      </c>
      <c r="F160" s="112" t="s">
        <v>63</v>
      </c>
      <c r="G160" s="112" t="s">
        <v>44</v>
      </c>
      <c r="H160" s="129"/>
      <c r="I160" s="118">
        <v>0</v>
      </c>
      <c r="J160" s="158">
        <v>0</v>
      </c>
      <c r="K160" s="116"/>
      <c r="L160" s="135"/>
      <c r="M160" s="182"/>
      <c r="N160" s="183"/>
      <c r="O160" s="119"/>
      <c r="P160" s="120"/>
      <c r="Q160" s="331"/>
      <c r="R160" s="331"/>
      <c r="Z160" s="15"/>
      <c r="AA160" s="15"/>
      <c r="AB160" s="15"/>
      <c r="AC160" s="15"/>
      <c r="AD160" s="15"/>
    </row>
    <row r="161" spans="1:50" ht="25.5" hidden="1" customHeight="1" x14ac:dyDescent="0.25">
      <c r="A161" s="99" t="s">
        <v>47</v>
      </c>
      <c r="B161" s="112" t="s">
        <v>9</v>
      </c>
      <c r="C161" s="112" t="s">
        <v>12</v>
      </c>
      <c r="D161" s="112" t="s">
        <v>14</v>
      </c>
      <c r="E161" s="113" t="s">
        <v>138</v>
      </c>
      <c r="F161" s="112" t="s">
        <v>63</v>
      </c>
      <c r="G161" s="112" t="s">
        <v>48</v>
      </c>
      <c r="H161" s="112"/>
      <c r="I161" s="118">
        <v>0</v>
      </c>
      <c r="J161" s="158">
        <v>0</v>
      </c>
      <c r="K161" s="118">
        <f t="shared" ref="K161:K173" si="83">I161-J161</f>
        <v>0</v>
      </c>
      <c r="L161" s="114"/>
      <c r="M161" s="188"/>
      <c r="N161" s="189"/>
      <c r="O161" s="119">
        <f t="shared" ref="O161" si="84">I161-J161-K161</f>
        <v>0</v>
      </c>
      <c r="P161" s="120" t="e">
        <f t="shared" si="81"/>
        <v>#DIV/0!</v>
      </c>
      <c r="Q161" s="331"/>
      <c r="R161" s="331"/>
      <c r="Z161" s="15"/>
      <c r="AA161" s="15"/>
      <c r="AB161" s="15"/>
      <c r="AC161" s="15"/>
      <c r="AD161" s="15"/>
    </row>
    <row r="162" spans="1:50" ht="25.5" hidden="1" customHeight="1" x14ac:dyDescent="0.25">
      <c r="A162" s="175" t="s">
        <v>109</v>
      </c>
      <c r="B162" s="112" t="s">
        <v>9</v>
      </c>
      <c r="C162" s="112" t="s">
        <v>12</v>
      </c>
      <c r="D162" s="112" t="s">
        <v>14</v>
      </c>
      <c r="E162" s="113" t="s">
        <v>138</v>
      </c>
      <c r="F162" s="112" t="s">
        <v>63</v>
      </c>
      <c r="G162" s="112" t="s">
        <v>104</v>
      </c>
      <c r="H162" s="112"/>
      <c r="I162" s="118">
        <v>0</v>
      </c>
      <c r="J162" s="158">
        <v>0</v>
      </c>
      <c r="K162" s="118"/>
      <c r="L162" s="114"/>
      <c r="M162" s="188"/>
      <c r="N162" s="189"/>
      <c r="O162" s="119"/>
      <c r="P162" s="120"/>
      <c r="Q162" s="331"/>
      <c r="R162" s="331"/>
      <c r="Z162" s="15"/>
      <c r="AA162" s="15"/>
      <c r="AB162" s="15"/>
      <c r="AC162" s="15"/>
      <c r="AD162" s="15"/>
    </row>
    <row r="163" spans="1:50" s="47" customFormat="1" ht="19.5" x14ac:dyDescent="0.35">
      <c r="A163" s="58" t="s">
        <v>75</v>
      </c>
      <c r="B163" s="59" t="s">
        <v>9</v>
      </c>
      <c r="C163" s="59" t="s">
        <v>76</v>
      </c>
      <c r="D163" s="59"/>
      <c r="E163" s="59"/>
      <c r="F163" s="59"/>
      <c r="G163" s="59"/>
      <c r="H163" s="59"/>
      <c r="I163" s="60">
        <f t="shared" ref="I163:J167" si="85">I164</f>
        <v>5202484</v>
      </c>
      <c r="J163" s="60">
        <f t="shared" si="85"/>
        <v>2133098.9</v>
      </c>
      <c r="K163" s="60">
        <f t="shared" si="83"/>
        <v>3069385.1</v>
      </c>
      <c r="L163" s="60" t="e">
        <f>L164+#REF!</f>
        <v>#REF!</v>
      </c>
      <c r="M163" s="60" t="e">
        <f>M164+#REF!</f>
        <v>#REF!</v>
      </c>
      <c r="N163" s="60" t="e">
        <f>N164+#REF!</f>
        <v>#REF!</v>
      </c>
      <c r="O163" s="60">
        <f t="shared" si="80"/>
        <v>0</v>
      </c>
      <c r="P163" s="61">
        <f t="shared" ref="P163:P164" si="86">J163*100/I163</f>
        <v>41.001546568908239</v>
      </c>
      <c r="Q163" s="331"/>
      <c r="R163" s="331"/>
    </row>
    <row r="164" spans="1:50" ht="19.5" x14ac:dyDescent="0.35">
      <c r="A164" s="62" t="s">
        <v>77</v>
      </c>
      <c r="B164" s="63" t="s">
        <v>9</v>
      </c>
      <c r="C164" s="63" t="s">
        <v>76</v>
      </c>
      <c r="D164" s="63" t="s">
        <v>78</v>
      </c>
      <c r="E164" s="63"/>
      <c r="F164" s="63"/>
      <c r="G164" s="63"/>
      <c r="H164" s="63"/>
      <c r="I164" s="125">
        <f t="shared" si="85"/>
        <v>5202484</v>
      </c>
      <c r="J164" s="125">
        <f t="shared" si="85"/>
        <v>2133098.9</v>
      </c>
      <c r="K164" s="64">
        <f t="shared" si="83"/>
        <v>3069385.1</v>
      </c>
      <c r="L164" s="64" t="e">
        <f t="shared" ref="L164:N164" si="87">L165</f>
        <v>#REF!</v>
      </c>
      <c r="M164" s="64">
        <f t="shared" si="87"/>
        <v>0</v>
      </c>
      <c r="N164" s="64">
        <f t="shared" si="87"/>
        <v>0</v>
      </c>
      <c r="O164" s="64">
        <f t="shared" si="80"/>
        <v>0</v>
      </c>
      <c r="P164" s="65">
        <f t="shared" si="86"/>
        <v>41.001546568908239</v>
      </c>
      <c r="Q164" s="331"/>
      <c r="R164" s="331"/>
    </row>
    <row r="165" spans="1:50" ht="135.75" customHeight="1" x14ac:dyDescent="0.25">
      <c r="A165" s="86" t="s">
        <v>79</v>
      </c>
      <c r="B165" s="41" t="s">
        <v>9</v>
      </c>
      <c r="C165" s="41" t="s">
        <v>76</v>
      </c>
      <c r="D165" s="41" t="s">
        <v>78</v>
      </c>
      <c r="E165" s="66">
        <v>7110175110</v>
      </c>
      <c r="F165" s="41"/>
      <c r="G165" s="41"/>
      <c r="H165" s="41"/>
      <c r="I165" s="17">
        <f t="shared" si="85"/>
        <v>5202484</v>
      </c>
      <c r="J165" s="17">
        <f t="shared" si="85"/>
        <v>2133098.9</v>
      </c>
      <c r="K165" s="17">
        <f t="shared" si="83"/>
        <v>3069385.1</v>
      </c>
      <c r="L165" s="18" t="e">
        <f>L166</f>
        <v>#REF!</v>
      </c>
      <c r="M165" s="186"/>
      <c r="N165" s="187"/>
      <c r="O165" s="20">
        <f t="shared" si="80"/>
        <v>0</v>
      </c>
      <c r="P165" s="21">
        <f>J165/I165*100</f>
        <v>41.001546568908239</v>
      </c>
      <c r="Q165" s="331"/>
      <c r="R165" s="331"/>
    </row>
    <row r="166" spans="1:50" s="46" customFormat="1" ht="37.5" x14ac:dyDescent="0.25">
      <c r="A166" s="175" t="s">
        <v>93</v>
      </c>
      <c r="B166" s="22" t="s">
        <v>9</v>
      </c>
      <c r="C166" s="22" t="s">
        <v>76</v>
      </c>
      <c r="D166" s="22" t="s">
        <v>78</v>
      </c>
      <c r="E166" s="67">
        <v>7110175100</v>
      </c>
      <c r="F166" s="22" t="s">
        <v>63</v>
      </c>
      <c r="G166" s="22" t="s">
        <v>94</v>
      </c>
      <c r="H166" s="22"/>
      <c r="I166" s="23">
        <v>5202484</v>
      </c>
      <c r="J166" s="23">
        <v>2133098.9</v>
      </c>
      <c r="K166" s="23">
        <f t="shared" si="83"/>
        <v>3069385.1</v>
      </c>
      <c r="L166" s="24" t="e">
        <f>#REF!</f>
        <v>#REF!</v>
      </c>
      <c r="M166" s="182"/>
      <c r="N166" s="183"/>
      <c r="O166" s="25">
        <f t="shared" si="80"/>
        <v>0</v>
      </c>
      <c r="P166" s="26">
        <f t="shared" ref="P166" si="88">J166/I166*100</f>
        <v>41.001546568908239</v>
      </c>
      <c r="Q166" s="331"/>
      <c r="R166" s="331"/>
      <c r="S166" s="1"/>
      <c r="T166" s="1"/>
      <c r="U166" s="1"/>
      <c r="V166" s="1"/>
      <c r="W166" s="1"/>
      <c r="X166" s="1"/>
      <c r="Y166" s="1"/>
      <c r="Z166" s="68"/>
      <c r="AA166" s="68"/>
      <c r="AB166" s="68"/>
      <c r="AC166" s="68"/>
      <c r="AD166" s="68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62.25" hidden="1" customHeight="1" x14ac:dyDescent="0.25">
      <c r="A167" s="40" t="s">
        <v>139</v>
      </c>
      <c r="B167" s="41" t="s">
        <v>9</v>
      </c>
      <c r="C167" s="41" t="s">
        <v>12</v>
      </c>
      <c r="D167" s="41" t="s">
        <v>14</v>
      </c>
      <c r="E167" s="66" t="s">
        <v>135</v>
      </c>
      <c r="F167" s="41"/>
      <c r="G167" s="41"/>
      <c r="H167" s="41"/>
      <c r="I167" s="17">
        <f t="shared" si="85"/>
        <v>0</v>
      </c>
      <c r="J167" s="17">
        <f t="shared" si="85"/>
        <v>0</v>
      </c>
      <c r="K167" s="17">
        <f t="shared" si="83"/>
        <v>0</v>
      </c>
      <c r="L167" s="18" t="e">
        <f>L168</f>
        <v>#REF!</v>
      </c>
      <c r="M167" s="186"/>
      <c r="N167" s="187"/>
      <c r="O167" s="20">
        <f t="shared" si="80"/>
        <v>0</v>
      </c>
      <c r="P167" s="21" t="e">
        <f>J167/I167*100</f>
        <v>#DIV/0!</v>
      </c>
      <c r="Q167" s="331"/>
      <c r="R167" s="331"/>
    </row>
    <row r="168" spans="1:50" s="46" customFormat="1" ht="18.75" hidden="1" x14ac:dyDescent="0.25">
      <c r="A168" s="99" t="s">
        <v>47</v>
      </c>
      <c r="B168" s="22" t="s">
        <v>9</v>
      </c>
      <c r="C168" s="16" t="s">
        <v>12</v>
      </c>
      <c r="D168" s="16" t="s">
        <v>14</v>
      </c>
      <c r="E168" s="134" t="s">
        <v>135</v>
      </c>
      <c r="F168" s="22" t="s">
        <v>63</v>
      </c>
      <c r="G168" s="22" t="s">
        <v>48</v>
      </c>
      <c r="H168" s="22"/>
      <c r="I168" s="35">
        <v>0</v>
      </c>
      <c r="J168" s="35">
        <v>0</v>
      </c>
      <c r="K168" s="23">
        <f t="shared" si="83"/>
        <v>0</v>
      </c>
      <c r="L168" s="24" t="e">
        <f>#REF!</f>
        <v>#REF!</v>
      </c>
      <c r="M168" s="182"/>
      <c r="N168" s="183"/>
      <c r="O168" s="25">
        <f t="shared" si="80"/>
        <v>0</v>
      </c>
      <c r="P168" s="26" t="e">
        <f t="shared" ref="P168" si="89">J168/I168*100</f>
        <v>#DIV/0!</v>
      </c>
      <c r="Q168" s="331"/>
      <c r="R168" s="331"/>
      <c r="S168" s="1"/>
      <c r="T168" s="1"/>
      <c r="U168" s="1"/>
      <c r="V168" s="1"/>
      <c r="W168" s="1"/>
      <c r="X168" s="1"/>
      <c r="Y168" s="1"/>
      <c r="Z168" s="68"/>
      <c r="AA168" s="68"/>
      <c r="AB168" s="68"/>
      <c r="AC168" s="68"/>
      <c r="AD168" s="68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62.25" hidden="1" customHeight="1" x14ac:dyDescent="0.25">
      <c r="A169" s="199" t="s">
        <v>148</v>
      </c>
      <c r="B169" s="41" t="s">
        <v>9</v>
      </c>
      <c r="C169" s="41" t="s">
        <v>12</v>
      </c>
      <c r="D169" s="41" t="s">
        <v>85</v>
      </c>
      <c r="E169" s="66">
        <v>7010470790</v>
      </c>
      <c r="F169" s="41"/>
      <c r="G169" s="41"/>
      <c r="H169" s="41"/>
      <c r="I169" s="17">
        <f>I172+I170+I171+I173</f>
        <v>0</v>
      </c>
      <c r="J169" s="17">
        <f>J172+J170+J171+J173</f>
        <v>0</v>
      </c>
      <c r="K169" s="17">
        <f t="shared" si="83"/>
        <v>0</v>
      </c>
      <c r="L169" s="18" t="e">
        <f>L172</f>
        <v>#REF!</v>
      </c>
      <c r="M169" s="186"/>
      <c r="N169" s="187"/>
      <c r="O169" s="20">
        <f t="shared" si="80"/>
        <v>0</v>
      </c>
      <c r="P169" s="21" t="e">
        <f>J169/I169*100</f>
        <v>#DIV/0!</v>
      </c>
      <c r="Q169" s="331"/>
      <c r="R169" s="331"/>
    </row>
    <row r="170" spans="1:50" ht="27" hidden="1" customHeight="1" x14ac:dyDescent="0.25">
      <c r="A170" s="200" t="s">
        <v>56</v>
      </c>
      <c r="B170" s="22" t="s">
        <v>9</v>
      </c>
      <c r="C170" s="22" t="s">
        <v>12</v>
      </c>
      <c r="D170" s="22" t="s">
        <v>85</v>
      </c>
      <c r="E170" s="67">
        <v>7010470790</v>
      </c>
      <c r="F170" s="22" t="s">
        <v>63</v>
      </c>
      <c r="G170" s="22" t="s">
        <v>38</v>
      </c>
      <c r="H170" s="22"/>
      <c r="I170" s="23"/>
      <c r="J170" s="23"/>
      <c r="K170" s="23">
        <f>I170-J170</f>
        <v>0</v>
      </c>
      <c r="L170" s="24"/>
      <c r="M170" s="182"/>
      <c r="N170" s="183"/>
      <c r="O170" s="25"/>
      <c r="P170" s="26"/>
      <c r="Q170" s="331"/>
      <c r="R170" s="331"/>
    </row>
    <row r="171" spans="1:50" ht="20.25" hidden="1" customHeight="1" x14ac:dyDescent="0.25">
      <c r="A171" s="200" t="s">
        <v>43</v>
      </c>
      <c r="B171" s="22" t="s">
        <v>9</v>
      </c>
      <c r="C171" s="22" t="s">
        <v>12</v>
      </c>
      <c r="D171" s="22" t="s">
        <v>85</v>
      </c>
      <c r="E171" s="67">
        <v>7010470790</v>
      </c>
      <c r="F171" s="22" t="s">
        <v>63</v>
      </c>
      <c r="G171" s="22" t="s">
        <v>44</v>
      </c>
      <c r="H171" s="22"/>
      <c r="I171" s="23"/>
      <c r="J171" s="23"/>
      <c r="K171" s="23">
        <f>I171-J171</f>
        <v>0</v>
      </c>
      <c r="L171" s="24"/>
      <c r="M171" s="182"/>
      <c r="N171" s="183"/>
      <c r="O171" s="25"/>
      <c r="P171" s="26"/>
      <c r="Q171" s="331"/>
      <c r="R171" s="331"/>
    </row>
    <row r="172" spans="1:50" s="2" customFormat="1" ht="24" hidden="1" customHeight="1" x14ac:dyDescent="0.25">
      <c r="A172" s="201" t="s">
        <v>47</v>
      </c>
      <c r="B172" s="112" t="s">
        <v>9</v>
      </c>
      <c r="C172" s="112" t="s">
        <v>12</v>
      </c>
      <c r="D172" s="112" t="s">
        <v>85</v>
      </c>
      <c r="E172" s="138">
        <v>7010470790</v>
      </c>
      <c r="F172" s="112" t="s">
        <v>63</v>
      </c>
      <c r="G172" s="112" t="s">
        <v>48</v>
      </c>
      <c r="H172" s="112"/>
      <c r="I172" s="116"/>
      <c r="J172" s="116"/>
      <c r="K172" s="116">
        <f t="shared" si="83"/>
        <v>0</v>
      </c>
      <c r="L172" s="136" t="e">
        <f>#REF!</f>
        <v>#REF!</v>
      </c>
      <c r="M172" s="182"/>
      <c r="N172" s="183"/>
      <c r="O172" s="119">
        <f t="shared" si="80"/>
        <v>0</v>
      </c>
      <c r="P172" s="120" t="e">
        <f t="shared" ref="P172:P174" si="90">J172/I172*100</f>
        <v>#DIV/0!</v>
      </c>
      <c r="Q172" s="332"/>
      <c r="R172" s="332"/>
      <c r="S172" s="1"/>
      <c r="T172" s="1"/>
      <c r="U172" s="1"/>
      <c r="V172" s="1"/>
      <c r="W172" s="1"/>
      <c r="X172" s="1"/>
      <c r="Y172" s="1"/>
      <c r="Z172" s="68"/>
      <c r="AA172" s="68"/>
      <c r="AB172" s="68"/>
      <c r="AC172" s="68"/>
      <c r="AD172" s="6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2" customFormat="1" ht="24" hidden="1" customHeight="1" x14ac:dyDescent="0.25">
      <c r="A173" s="175" t="s">
        <v>109</v>
      </c>
      <c r="B173" s="112" t="s">
        <v>9</v>
      </c>
      <c r="C173" s="112" t="s">
        <v>12</v>
      </c>
      <c r="D173" s="112" t="s">
        <v>85</v>
      </c>
      <c r="E173" s="138">
        <v>7010470790</v>
      </c>
      <c r="F173" s="112" t="s">
        <v>63</v>
      </c>
      <c r="G173" s="112" t="s">
        <v>104</v>
      </c>
      <c r="H173" s="22"/>
      <c r="I173" s="23"/>
      <c r="J173" s="23"/>
      <c r="K173" s="116">
        <f t="shared" si="83"/>
        <v>0</v>
      </c>
      <c r="L173" s="137"/>
      <c r="M173" s="238"/>
      <c r="N173" s="237"/>
      <c r="O173" s="119">
        <f>I173-J173-K173</f>
        <v>0</v>
      </c>
      <c r="P173" s="120" t="e">
        <f t="shared" si="90"/>
        <v>#DIV/0!</v>
      </c>
      <c r="Q173" s="332"/>
      <c r="R173" s="332"/>
      <c r="S173" s="1"/>
      <c r="T173" s="1"/>
      <c r="U173" s="1"/>
      <c r="V173" s="1"/>
      <c r="W173" s="1"/>
      <c r="X173" s="1"/>
      <c r="Y173" s="1"/>
      <c r="Z173" s="68"/>
      <c r="AA173" s="68"/>
      <c r="AB173" s="68"/>
      <c r="AC173" s="68"/>
      <c r="AD173" s="68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2" customFormat="1" ht="60" hidden="1" customHeight="1" x14ac:dyDescent="0.25">
      <c r="A174" s="199" t="s">
        <v>145</v>
      </c>
      <c r="B174" s="104" t="s">
        <v>9</v>
      </c>
      <c r="C174" s="104" t="s">
        <v>12</v>
      </c>
      <c r="D174" s="104" t="s">
        <v>12</v>
      </c>
      <c r="E174" s="104" t="s">
        <v>149</v>
      </c>
      <c r="F174" s="104"/>
      <c r="G174" s="104"/>
      <c r="H174" s="104"/>
      <c r="I174" s="106">
        <f>I175+I176</f>
        <v>0</v>
      </c>
      <c r="J174" s="106">
        <f>J176+J175</f>
        <v>0</v>
      </c>
      <c r="K174" s="106">
        <f>K176+K175</f>
        <v>0</v>
      </c>
      <c r="L174" s="115"/>
      <c r="M174" s="195"/>
      <c r="N174" s="196"/>
      <c r="O174" s="20">
        <f>I174-J174-K174</f>
        <v>0</v>
      </c>
      <c r="P174" s="21" t="e">
        <f t="shared" si="90"/>
        <v>#DIV/0!</v>
      </c>
      <c r="Q174" s="321"/>
      <c r="R174" s="32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33" hidden="1" customHeight="1" x14ac:dyDescent="0.25">
      <c r="A175" s="194" t="s">
        <v>27</v>
      </c>
      <c r="B175" s="112" t="s">
        <v>9</v>
      </c>
      <c r="C175" s="112" t="s">
        <v>12</v>
      </c>
      <c r="D175" s="112" t="s">
        <v>12</v>
      </c>
      <c r="E175" s="112" t="s">
        <v>149</v>
      </c>
      <c r="F175" s="112" t="s">
        <v>63</v>
      </c>
      <c r="G175" s="112" t="s">
        <v>28</v>
      </c>
      <c r="H175" s="129"/>
      <c r="I175" s="116"/>
      <c r="J175" s="117"/>
      <c r="K175" s="130">
        <f>I175-J175</f>
        <v>0</v>
      </c>
      <c r="L175" s="131"/>
      <c r="M175" s="184"/>
      <c r="N175" s="185"/>
      <c r="O175" s="132"/>
      <c r="P175" s="133"/>
      <c r="Q175" s="325"/>
      <c r="R175" s="326"/>
    </row>
    <row r="176" spans="1:50" s="2" customFormat="1" ht="27.75" hidden="1" customHeight="1" x14ac:dyDescent="0.25">
      <c r="A176" s="175" t="s">
        <v>31</v>
      </c>
      <c r="B176" s="112" t="s">
        <v>9</v>
      </c>
      <c r="C176" s="112" t="s">
        <v>12</v>
      </c>
      <c r="D176" s="112" t="s">
        <v>12</v>
      </c>
      <c r="E176" s="112" t="s">
        <v>149</v>
      </c>
      <c r="F176" s="112" t="s">
        <v>63</v>
      </c>
      <c r="G176" s="112" t="s">
        <v>32</v>
      </c>
      <c r="H176" s="112"/>
      <c r="I176" s="116"/>
      <c r="J176" s="117"/>
      <c r="K176" s="116">
        <f>I176-J176</f>
        <v>0</v>
      </c>
      <c r="L176" s="131"/>
      <c r="M176" s="182"/>
      <c r="N176" s="183"/>
      <c r="O176" s="119">
        <f t="shared" ref="O176" si="91">I176-J176-K176</f>
        <v>0</v>
      </c>
      <c r="P176" s="120" t="e">
        <f t="shared" ref="P176:P182" si="92">J176/I176*100</f>
        <v>#DIV/0!</v>
      </c>
      <c r="Q176" s="323"/>
      <c r="R176" s="32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60" customHeight="1" x14ac:dyDescent="0.25">
      <c r="A177" s="199" t="s">
        <v>156</v>
      </c>
      <c r="B177" s="104" t="s">
        <v>9</v>
      </c>
      <c r="C177" s="104" t="s">
        <v>12</v>
      </c>
      <c r="D177" s="104" t="s">
        <v>14</v>
      </c>
      <c r="E177" s="104" t="s">
        <v>157</v>
      </c>
      <c r="F177" s="104"/>
      <c r="G177" s="104"/>
      <c r="H177" s="104"/>
      <c r="I177" s="106">
        <f>I178+I179</f>
        <v>6358968</v>
      </c>
      <c r="J177" s="106">
        <f>J179+J178</f>
        <v>3842515.39</v>
      </c>
      <c r="K177" s="106">
        <f>K179+K178</f>
        <v>2516452.61</v>
      </c>
      <c r="L177" s="115"/>
      <c r="M177" s="195"/>
      <c r="N177" s="196"/>
      <c r="O177" s="20">
        <f>I177-J177-K177</f>
        <v>0</v>
      </c>
      <c r="P177" s="21">
        <f t="shared" si="92"/>
        <v>60.426713737197616</v>
      </c>
      <c r="Q177" s="321"/>
      <c r="R177" s="32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33" customHeight="1" x14ac:dyDescent="0.25">
      <c r="A178" s="194" t="s">
        <v>27</v>
      </c>
      <c r="B178" s="112" t="s">
        <v>9</v>
      </c>
      <c r="C178" s="112" t="s">
        <v>12</v>
      </c>
      <c r="D178" s="112" t="s">
        <v>14</v>
      </c>
      <c r="E178" s="112" t="s">
        <v>157</v>
      </c>
      <c r="F178" s="112" t="s">
        <v>63</v>
      </c>
      <c r="G178" s="112" t="s">
        <v>28</v>
      </c>
      <c r="H178" s="129"/>
      <c r="I178" s="116">
        <v>4884000</v>
      </c>
      <c r="J178" s="117">
        <v>2951240.7</v>
      </c>
      <c r="K178" s="116">
        <f>I178-J178</f>
        <v>1932759.2999999998</v>
      </c>
      <c r="L178" s="131"/>
      <c r="M178" s="184"/>
      <c r="N178" s="185"/>
      <c r="O178" s="119">
        <f t="shared" ref="O178:O179" si="93">I178-J178-K178</f>
        <v>0</v>
      </c>
      <c r="P178" s="120">
        <f t="shared" si="92"/>
        <v>60.426713759213769</v>
      </c>
      <c r="Q178" s="325"/>
      <c r="R178" s="326"/>
    </row>
    <row r="179" spans="1:50" s="2" customFormat="1" ht="27.75" customHeight="1" x14ac:dyDescent="0.25">
      <c r="A179" s="175" t="s">
        <v>31</v>
      </c>
      <c r="B179" s="112" t="s">
        <v>9</v>
      </c>
      <c r="C179" s="112" t="s">
        <v>12</v>
      </c>
      <c r="D179" s="112" t="s">
        <v>14</v>
      </c>
      <c r="E179" s="112" t="s">
        <v>157</v>
      </c>
      <c r="F179" s="112" t="s">
        <v>63</v>
      </c>
      <c r="G179" s="112" t="s">
        <v>32</v>
      </c>
      <c r="H179" s="112"/>
      <c r="I179" s="116">
        <v>1474968</v>
      </c>
      <c r="J179" s="117">
        <v>891274.69</v>
      </c>
      <c r="K179" s="116">
        <f>I179-J179</f>
        <v>583693.31000000006</v>
      </c>
      <c r="L179" s="131"/>
      <c r="M179" s="182"/>
      <c r="N179" s="183"/>
      <c r="O179" s="119">
        <f t="shared" si="93"/>
        <v>0</v>
      </c>
      <c r="P179" s="120">
        <f t="shared" si="92"/>
        <v>60.426713664296436</v>
      </c>
      <c r="Q179" s="323"/>
      <c r="R179" s="32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s="2" customFormat="1" ht="60" customHeight="1" x14ac:dyDescent="0.25">
      <c r="A180" s="199" t="s">
        <v>156</v>
      </c>
      <c r="B180" s="104" t="s">
        <v>9</v>
      </c>
      <c r="C180" s="104" t="s">
        <v>12</v>
      </c>
      <c r="D180" s="104" t="s">
        <v>14</v>
      </c>
      <c r="E180" s="104" t="s">
        <v>158</v>
      </c>
      <c r="F180" s="104"/>
      <c r="G180" s="104"/>
      <c r="H180" s="104"/>
      <c r="I180" s="106">
        <f>I181+I182</f>
        <v>289044</v>
      </c>
      <c r="J180" s="106">
        <f>J182+J181</f>
        <v>171816.12</v>
      </c>
      <c r="K180" s="106">
        <f>K182+K181</f>
        <v>117227.88</v>
      </c>
      <c r="L180" s="115"/>
      <c r="M180" s="195"/>
      <c r="N180" s="196"/>
      <c r="O180" s="20">
        <f>I180-J180-K180</f>
        <v>0</v>
      </c>
      <c r="P180" s="21">
        <f t="shared" si="92"/>
        <v>59.442894507410635</v>
      </c>
      <c r="Q180" s="321"/>
      <c r="R180" s="32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33" customHeight="1" x14ac:dyDescent="0.25">
      <c r="A181" s="194" t="s">
        <v>27</v>
      </c>
      <c r="B181" s="112" t="s">
        <v>9</v>
      </c>
      <c r="C181" s="112" t="s">
        <v>12</v>
      </c>
      <c r="D181" s="112" t="s">
        <v>14</v>
      </c>
      <c r="E181" s="112" t="s">
        <v>158</v>
      </c>
      <c r="F181" s="112" t="s">
        <v>63</v>
      </c>
      <c r="G181" s="112" t="s">
        <v>28</v>
      </c>
      <c r="H181" s="129"/>
      <c r="I181" s="116">
        <v>222000</v>
      </c>
      <c r="J181" s="117">
        <v>131963.24</v>
      </c>
      <c r="K181" s="116">
        <f>I181-J181</f>
        <v>90036.760000000009</v>
      </c>
      <c r="L181" s="131"/>
      <c r="M181" s="184"/>
      <c r="N181" s="185"/>
      <c r="O181" s="119">
        <f t="shared" ref="O181:O182" si="94">I181-J181-K181</f>
        <v>0</v>
      </c>
      <c r="P181" s="120">
        <f t="shared" si="92"/>
        <v>59.442900900900895</v>
      </c>
      <c r="Q181" s="325"/>
      <c r="R181" s="326"/>
    </row>
    <row r="182" spans="1:50" s="2" customFormat="1" ht="27.75" customHeight="1" x14ac:dyDescent="0.25">
      <c r="A182" s="175" t="s">
        <v>31</v>
      </c>
      <c r="B182" s="112" t="s">
        <v>9</v>
      </c>
      <c r="C182" s="112" t="s">
        <v>12</v>
      </c>
      <c r="D182" s="112" t="s">
        <v>14</v>
      </c>
      <c r="E182" s="112" t="s">
        <v>158</v>
      </c>
      <c r="F182" s="112" t="s">
        <v>63</v>
      </c>
      <c r="G182" s="112" t="s">
        <v>32</v>
      </c>
      <c r="H182" s="112"/>
      <c r="I182" s="116">
        <v>67044</v>
      </c>
      <c r="J182" s="117">
        <v>39852.879999999997</v>
      </c>
      <c r="K182" s="116">
        <f>I182-J182</f>
        <v>27191.120000000003</v>
      </c>
      <c r="L182" s="131"/>
      <c r="M182" s="182"/>
      <c r="N182" s="183"/>
      <c r="O182" s="119">
        <f t="shared" si="94"/>
        <v>0</v>
      </c>
      <c r="P182" s="120">
        <f t="shared" si="92"/>
        <v>59.442873336913074</v>
      </c>
      <c r="Q182" s="323"/>
      <c r="R182" s="32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9.5" customHeight="1" x14ac:dyDescent="0.25">
      <c r="A183" s="327" t="s">
        <v>80</v>
      </c>
      <c r="B183" s="328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9"/>
      <c r="Q183" s="330"/>
      <c r="R183" s="330"/>
    </row>
    <row r="184" spans="1:50" s="15" customFormat="1" ht="72.75" customHeight="1" x14ac:dyDescent="0.25">
      <c r="A184" s="202" t="s">
        <v>120</v>
      </c>
      <c r="B184" s="16" t="s">
        <v>81</v>
      </c>
      <c r="C184" s="16" t="s">
        <v>82</v>
      </c>
      <c r="D184" s="16" t="s">
        <v>82</v>
      </c>
      <c r="E184" s="16" t="s">
        <v>83</v>
      </c>
      <c r="F184" s="16" t="s">
        <v>81</v>
      </c>
      <c r="G184" s="16"/>
      <c r="H184" s="16"/>
      <c r="I184" s="17">
        <f>I185</f>
        <v>4268106.4000000004</v>
      </c>
      <c r="J184" s="17">
        <f>J185</f>
        <v>1763204.12</v>
      </c>
      <c r="K184" s="17">
        <f>I184-J184</f>
        <v>2504902.2800000003</v>
      </c>
      <c r="L184" s="17">
        <f t="shared" ref="L184:N184" si="95">L185</f>
        <v>0</v>
      </c>
      <c r="M184" s="17">
        <f t="shared" si="95"/>
        <v>0</v>
      </c>
      <c r="N184" s="17">
        <f t="shared" si="95"/>
        <v>0</v>
      </c>
      <c r="O184" s="20">
        <f t="shared" ref="O184:O185" si="96">I184-J184-K184</f>
        <v>0</v>
      </c>
      <c r="P184" s="21">
        <f>J184/I184*100</f>
        <v>41.311156629084969</v>
      </c>
      <c r="Q184" s="331"/>
      <c r="R184" s="331"/>
      <c r="S184" s="1"/>
      <c r="T184" s="1"/>
      <c r="U184" s="1"/>
      <c r="V184" s="1"/>
      <c r="W184" s="1"/>
      <c r="X184" s="1"/>
      <c r="Y184" s="1"/>
    </row>
    <row r="185" spans="1:50" s="15" customFormat="1" ht="18.75" customHeight="1" x14ac:dyDescent="0.25">
      <c r="A185" s="32" t="s">
        <v>113</v>
      </c>
      <c r="B185" s="22" t="s">
        <v>81</v>
      </c>
      <c r="C185" s="22" t="s">
        <v>82</v>
      </c>
      <c r="D185" s="22" t="s">
        <v>82</v>
      </c>
      <c r="E185" s="22" t="s">
        <v>83</v>
      </c>
      <c r="F185" s="22" t="s">
        <v>81</v>
      </c>
      <c r="G185" s="22" t="s">
        <v>114</v>
      </c>
      <c r="H185" s="22"/>
      <c r="I185" s="23">
        <v>4268106.4000000004</v>
      </c>
      <c r="J185" s="23">
        <v>1763204.12</v>
      </c>
      <c r="K185" s="23">
        <f>I185-J185</f>
        <v>2504902.2800000003</v>
      </c>
      <c r="L185" s="38"/>
      <c r="M185" s="29"/>
      <c r="N185" s="1"/>
      <c r="O185" s="25">
        <f t="shared" si="96"/>
        <v>0</v>
      </c>
      <c r="P185" s="26">
        <f>J185/I185*100</f>
        <v>41.311156629084969</v>
      </c>
      <c r="Q185" s="331"/>
      <c r="R185" s="331"/>
      <c r="S185" s="1"/>
      <c r="T185" s="1"/>
      <c r="U185" s="1"/>
      <c r="V185" s="1"/>
      <c r="W185" s="1"/>
      <c r="X185" s="1"/>
      <c r="Y185" s="1"/>
    </row>
    <row r="186" spans="1:50" ht="0.75" customHeight="1" x14ac:dyDescent="0.25">
      <c r="A186" s="70"/>
      <c r="B186" s="70"/>
      <c r="C186" s="70"/>
      <c r="D186" s="70"/>
      <c r="E186" s="70"/>
      <c r="F186" s="70"/>
      <c r="G186" s="70"/>
      <c r="H186" s="71"/>
      <c r="I186" s="126"/>
      <c r="J186" s="127"/>
      <c r="K186" s="72"/>
      <c r="L186" s="1"/>
      <c r="M186" s="1"/>
    </row>
    <row r="187" spans="1:50" ht="19.5" customHeight="1" x14ac:dyDescent="0.25">
      <c r="A187" s="327" t="s">
        <v>186</v>
      </c>
      <c r="B187" s="328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9"/>
      <c r="Q187" s="330"/>
      <c r="R187" s="330"/>
    </row>
    <row r="188" spans="1:50" s="15" customFormat="1" ht="76.5" customHeight="1" x14ac:dyDescent="0.25">
      <c r="A188" s="202"/>
      <c r="B188" s="16" t="s">
        <v>81</v>
      </c>
      <c r="C188" s="16" t="s">
        <v>82</v>
      </c>
      <c r="D188" s="16" t="s">
        <v>82</v>
      </c>
      <c r="E188" s="16" t="s">
        <v>83</v>
      </c>
      <c r="F188" s="16" t="s">
        <v>81</v>
      </c>
      <c r="G188" s="16"/>
      <c r="H188" s="16"/>
      <c r="I188" s="17">
        <f>I189</f>
        <v>1250000</v>
      </c>
      <c r="J188" s="17">
        <f>J189</f>
        <v>0</v>
      </c>
      <c r="K188" s="17">
        <f>I188-J188</f>
        <v>1250000</v>
      </c>
      <c r="L188" s="17">
        <f t="shared" ref="L188:N188" si="97">L189</f>
        <v>0</v>
      </c>
      <c r="M188" s="17">
        <f t="shared" si="97"/>
        <v>0</v>
      </c>
      <c r="N188" s="17">
        <f t="shared" si="97"/>
        <v>0</v>
      </c>
      <c r="O188" s="20">
        <f t="shared" ref="O188:O189" si="98">I188-J188-K188</f>
        <v>0</v>
      </c>
      <c r="P188" s="21">
        <f>J188/I188*100</f>
        <v>0</v>
      </c>
      <c r="Q188" s="331"/>
      <c r="R188" s="331"/>
      <c r="S188" s="1"/>
      <c r="T188" s="1"/>
      <c r="U188" s="1"/>
      <c r="V188" s="1"/>
      <c r="W188" s="1"/>
      <c r="X188" s="1"/>
      <c r="Y188" s="1"/>
    </row>
    <row r="189" spans="1:50" s="15" customFormat="1" ht="18.75" customHeight="1" x14ac:dyDescent="0.25">
      <c r="A189" s="32" t="s">
        <v>113</v>
      </c>
      <c r="B189" s="22" t="s">
        <v>81</v>
      </c>
      <c r="C189" s="22" t="s">
        <v>82</v>
      </c>
      <c r="D189" s="22" t="s">
        <v>82</v>
      </c>
      <c r="E189" s="22" t="s">
        <v>83</v>
      </c>
      <c r="F189" s="22" t="s">
        <v>81</v>
      </c>
      <c r="G189" s="22" t="s">
        <v>48</v>
      </c>
      <c r="H189" s="22"/>
      <c r="I189" s="23">
        <v>1250000</v>
      </c>
      <c r="J189" s="23">
        <v>0</v>
      </c>
      <c r="K189" s="23">
        <f>I189-J189</f>
        <v>1250000</v>
      </c>
      <c r="L189" s="38"/>
      <c r="M189" s="29"/>
      <c r="N189" s="1"/>
      <c r="O189" s="25">
        <f t="shared" si="98"/>
        <v>0</v>
      </c>
      <c r="P189" s="26">
        <f>J189/I189*100</f>
        <v>0</v>
      </c>
      <c r="Q189" s="331"/>
      <c r="R189" s="331"/>
      <c r="S189" s="1"/>
      <c r="T189" s="1"/>
      <c r="U189" s="1"/>
      <c r="V189" s="1"/>
      <c r="W189" s="1"/>
      <c r="X189" s="1"/>
      <c r="Y189" s="1"/>
    </row>
    <row r="190" spans="1:50" ht="27.75" customHeight="1" x14ac:dyDescent="0.25">
      <c r="A190" s="77"/>
      <c r="B190" s="78"/>
      <c r="C190" s="78"/>
      <c r="D190" s="78"/>
      <c r="E190" s="78"/>
      <c r="F190" s="78"/>
      <c r="G190" s="1"/>
      <c r="H190" s="1"/>
      <c r="I190" s="1"/>
      <c r="J190" s="1"/>
      <c r="K190" s="1"/>
      <c r="L190" s="73"/>
      <c r="M190" s="74"/>
      <c r="N190" s="75"/>
      <c r="O190" s="75"/>
      <c r="P190" s="75"/>
    </row>
    <row r="191" spans="1:50" ht="40.5" customHeight="1" x14ac:dyDescent="0.25">
      <c r="A191" s="379" t="s">
        <v>181</v>
      </c>
      <c r="B191" s="379"/>
      <c r="C191" s="379"/>
      <c r="D191" s="379"/>
      <c r="E191" s="379"/>
      <c r="F191" s="379"/>
      <c r="G191" s="379"/>
      <c r="H191" s="80"/>
      <c r="I191" s="1"/>
      <c r="J191" s="1"/>
      <c r="K191" s="1"/>
      <c r="L191" s="73"/>
      <c r="M191" s="74"/>
      <c r="N191" s="75"/>
      <c r="O191" s="75"/>
      <c r="P191" s="75"/>
    </row>
    <row r="192" spans="1:50" ht="15" customHeight="1" x14ac:dyDescent="0.25">
      <c r="A192" s="379" t="s">
        <v>177</v>
      </c>
      <c r="B192" s="379"/>
      <c r="C192" s="379"/>
      <c r="D192" s="379"/>
      <c r="E192" s="379"/>
      <c r="F192" s="379"/>
      <c r="G192" s="379"/>
      <c r="H192" s="80"/>
      <c r="I192" s="1"/>
      <c r="J192" s="1"/>
      <c r="K192" s="1"/>
      <c r="L192" s="73"/>
      <c r="M192" s="74"/>
      <c r="N192" s="75"/>
      <c r="O192" s="75"/>
      <c r="P192" s="75"/>
    </row>
    <row r="193" spans="1:16" ht="18.75" x14ac:dyDescent="0.25">
      <c r="A193" s="83"/>
      <c r="B193" s="84"/>
      <c r="C193" s="84"/>
      <c r="D193" s="84"/>
      <c r="E193" s="84"/>
      <c r="F193" s="84"/>
      <c r="G193" s="1"/>
      <c r="H193" s="1"/>
      <c r="I193" s="1"/>
      <c r="J193" s="1"/>
      <c r="K193" s="1"/>
      <c r="L193" s="73"/>
      <c r="M193" s="74"/>
      <c r="N193" s="75"/>
      <c r="O193" s="75"/>
      <c r="P193" s="75"/>
    </row>
    <row r="194" spans="1:16" x14ac:dyDescent="0.25">
      <c r="A194" s="1"/>
      <c r="B194" s="1"/>
      <c r="C194" s="1"/>
      <c r="D194" s="1"/>
      <c r="E194" s="1"/>
      <c r="F194" s="1"/>
      <c r="L194" s="73"/>
      <c r="M194" s="74"/>
      <c r="N194" s="75"/>
      <c r="O194" s="75"/>
      <c r="P194" s="75"/>
    </row>
    <row r="195" spans="1:16" x14ac:dyDescent="0.25">
      <c r="A195" s="1"/>
      <c r="B195" s="1"/>
      <c r="C195" s="1"/>
      <c r="D195" s="1"/>
      <c r="E195" s="1"/>
      <c r="F195" s="1"/>
      <c r="L195" s="73"/>
      <c r="M195" s="74"/>
      <c r="N195" s="75"/>
      <c r="O195" s="75"/>
      <c r="P195" s="75"/>
    </row>
    <row r="196" spans="1:16" x14ac:dyDescent="0.25">
      <c r="A196" s="1"/>
      <c r="B196" s="1"/>
      <c r="C196" s="1"/>
      <c r="D196" s="1"/>
      <c r="E196" s="1"/>
      <c r="F196" s="1"/>
      <c r="L196" s="73"/>
      <c r="M196" s="74"/>
      <c r="N196" s="75"/>
      <c r="O196" s="75"/>
      <c r="P196" s="75"/>
    </row>
    <row r="197" spans="1:16" x14ac:dyDescent="0.25">
      <c r="A197" s="1"/>
      <c r="B197" s="1"/>
      <c r="C197" s="1"/>
      <c r="D197" s="1"/>
      <c r="E197" s="1"/>
      <c r="F197" s="1"/>
    </row>
    <row r="198" spans="1:16" x14ac:dyDescent="0.25">
      <c r="A198" s="1"/>
      <c r="B198" s="1"/>
      <c r="C198" s="1"/>
      <c r="D198" s="1"/>
      <c r="E198" s="1"/>
      <c r="F198" s="1"/>
      <c r="L198" s="1"/>
      <c r="M198" s="1"/>
    </row>
    <row r="199" spans="1:16" x14ac:dyDescent="0.25">
      <c r="A199" s="1"/>
      <c r="B199" s="1"/>
      <c r="C199" s="1"/>
      <c r="D199" s="1"/>
      <c r="E199" s="1"/>
      <c r="F199" s="1"/>
      <c r="L199" s="1"/>
      <c r="M199" s="1"/>
    </row>
    <row r="200" spans="1:16" x14ac:dyDescent="0.25">
      <c r="A200" s="1"/>
      <c r="B200" s="1"/>
      <c r="C200" s="1"/>
      <c r="D200" s="1"/>
      <c r="E200" s="1"/>
      <c r="F200" s="1"/>
      <c r="L200" s="1"/>
      <c r="M200" s="1"/>
    </row>
    <row r="201" spans="1:16" x14ac:dyDescent="0.25">
      <c r="A201" s="1"/>
      <c r="B201" s="1"/>
      <c r="C201" s="1"/>
      <c r="D201" s="1"/>
      <c r="E201" s="1"/>
      <c r="F201" s="1"/>
      <c r="L201" s="1"/>
      <c r="M201" s="1"/>
    </row>
    <row r="202" spans="1:16" x14ac:dyDescent="0.25">
      <c r="A202" s="1"/>
      <c r="B202" s="1"/>
      <c r="C202" s="1"/>
      <c r="D202" s="1"/>
      <c r="E202" s="1"/>
      <c r="F202" s="1"/>
    </row>
    <row r="203" spans="1:16" x14ac:dyDescent="0.25">
      <c r="A203" s="1"/>
      <c r="B203" s="1"/>
      <c r="C203" s="1"/>
      <c r="D203" s="1"/>
      <c r="E203" s="1"/>
      <c r="F203" s="1"/>
    </row>
    <row r="204" spans="1:16" x14ac:dyDescent="0.25">
      <c r="A204" s="1"/>
      <c r="B204" s="1"/>
      <c r="C204" s="1"/>
      <c r="D204" s="1"/>
      <c r="E204" s="1"/>
      <c r="F204" s="1"/>
    </row>
    <row r="205" spans="1:16" x14ac:dyDescent="0.25">
      <c r="A205" s="1"/>
      <c r="B205" s="1"/>
      <c r="C205" s="1"/>
      <c r="D205" s="1"/>
      <c r="E205" s="1"/>
      <c r="F205" s="1"/>
    </row>
    <row r="206" spans="1:16" x14ac:dyDescent="0.25">
      <c r="A206" s="1"/>
      <c r="B206" s="1"/>
      <c r="C206" s="1"/>
      <c r="D206" s="1"/>
      <c r="E206" s="1"/>
      <c r="F206" s="1"/>
    </row>
    <row r="207" spans="1:16" x14ac:dyDescent="0.25">
      <c r="A207" s="1"/>
      <c r="B207" s="1"/>
      <c r="C207" s="1"/>
      <c r="D207" s="1"/>
      <c r="E207" s="1"/>
      <c r="F207" s="1"/>
    </row>
    <row r="208" spans="1:16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s="68" customFormat="1" x14ac:dyDescent="0.25">
      <c r="A213" s="1"/>
      <c r="B213" s="1"/>
      <c r="C213" s="1"/>
      <c r="D213" s="1"/>
      <c r="E213" s="1"/>
      <c r="F213" s="1"/>
      <c r="I213" s="128"/>
      <c r="J213" s="128"/>
      <c r="K213" s="76"/>
      <c r="L213" s="76"/>
      <c r="M213" s="2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68" customFormat="1" x14ac:dyDescent="0.25">
      <c r="A214" s="85"/>
      <c r="I214" s="128"/>
      <c r="J214" s="128"/>
      <c r="K214" s="76"/>
      <c r="L214" s="76"/>
      <c r="M214" s="2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68" customFormat="1" x14ac:dyDescent="0.25">
      <c r="A215" s="85"/>
      <c r="I215" s="128"/>
      <c r="J215" s="128"/>
      <c r="K215" s="76"/>
      <c r="L215" s="76"/>
      <c r="M215" s="2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68" customFormat="1" x14ac:dyDescent="0.25">
      <c r="A216" s="85"/>
      <c r="I216" s="128"/>
      <c r="J216" s="128"/>
      <c r="K216" s="76"/>
      <c r="L216" s="76"/>
      <c r="M216" s="2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s="68" customFormat="1" x14ac:dyDescent="0.25">
      <c r="A217" s="85"/>
      <c r="I217" s="128"/>
      <c r="J217" s="128"/>
      <c r="K217" s="76"/>
      <c r="L217" s="76"/>
      <c r="M217" s="2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68" customFormat="1" x14ac:dyDescent="0.25">
      <c r="A218" s="85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8" customFormat="1" x14ac:dyDescent="0.25">
      <c r="A219" s="85"/>
      <c r="I219" s="128"/>
      <c r="J219" s="128"/>
      <c r="K219" s="76"/>
      <c r="L219" s="76"/>
      <c r="M219" s="2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8" customFormat="1" x14ac:dyDescent="0.25">
      <c r="A220" s="85"/>
      <c r="I220" s="128"/>
      <c r="J220" s="128"/>
      <c r="K220" s="76"/>
      <c r="L220" s="76"/>
      <c r="M220" s="2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8" customFormat="1" x14ac:dyDescent="0.25">
      <c r="A221" s="85"/>
      <c r="I221" s="128"/>
      <c r="J221" s="128"/>
      <c r="K221" s="76"/>
      <c r="L221" s="76"/>
      <c r="M221" s="2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</sheetData>
  <mergeCells count="177"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A71:P71"/>
    <mergeCell ref="Q71:R71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72:R72"/>
    <mergeCell ref="Q73:R73"/>
    <mergeCell ref="Q74:R74"/>
    <mergeCell ref="Q75:R75"/>
    <mergeCell ref="Q76:R76"/>
    <mergeCell ref="Q77:R77"/>
    <mergeCell ref="Q57:R57"/>
    <mergeCell ref="Q58:R58"/>
    <mergeCell ref="Q59:R59"/>
    <mergeCell ref="Q60:R60"/>
    <mergeCell ref="Q61:R70"/>
    <mergeCell ref="Q84:R84"/>
    <mergeCell ref="Q85:R85"/>
    <mergeCell ref="Q86:R86"/>
    <mergeCell ref="Q87:R87"/>
    <mergeCell ref="Q88:R88"/>
    <mergeCell ref="Q89:R89"/>
    <mergeCell ref="Q78:R78"/>
    <mergeCell ref="Q79:R79"/>
    <mergeCell ref="Q80:R80"/>
    <mergeCell ref="Q81:R81"/>
    <mergeCell ref="Q82:R82"/>
    <mergeCell ref="Q83:R83"/>
    <mergeCell ref="A106:P106"/>
    <mergeCell ref="Q106:R106"/>
    <mergeCell ref="Q96:R96"/>
    <mergeCell ref="Q97:R97"/>
    <mergeCell ref="Q98:R98"/>
    <mergeCell ref="Q99:R99"/>
    <mergeCell ref="Q100:R100"/>
    <mergeCell ref="Q101:R101"/>
    <mergeCell ref="Q90:R90"/>
    <mergeCell ref="Q91:R91"/>
    <mergeCell ref="Q92:R92"/>
    <mergeCell ref="Q93:R93"/>
    <mergeCell ref="Q94:R94"/>
    <mergeCell ref="Q95:R95"/>
    <mergeCell ref="Q107:R107"/>
    <mergeCell ref="Q108:R108"/>
    <mergeCell ref="Q109:R109"/>
    <mergeCell ref="Q110:R110"/>
    <mergeCell ref="Q111:R111"/>
    <mergeCell ref="Q112:R112"/>
    <mergeCell ref="Q102:R102"/>
    <mergeCell ref="Q103:R103"/>
    <mergeCell ref="Q104:R104"/>
    <mergeCell ref="Q105:R105"/>
    <mergeCell ref="Q119:R119"/>
    <mergeCell ref="Q120:R120"/>
    <mergeCell ref="Q121:R121"/>
    <mergeCell ref="Q122:R122"/>
    <mergeCell ref="Q123:R123"/>
    <mergeCell ref="Q124:R124"/>
    <mergeCell ref="Q113:R113"/>
    <mergeCell ref="Q114:R114"/>
    <mergeCell ref="Q115:R115"/>
    <mergeCell ref="Q116:R116"/>
    <mergeCell ref="Q117:R117"/>
    <mergeCell ref="Q118:R118"/>
    <mergeCell ref="Q136:R137"/>
    <mergeCell ref="Q139:R140"/>
    <mergeCell ref="Q141:R141"/>
    <mergeCell ref="Q142:R142"/>
    <mergeCell ref="Q143:R145"/>
    <mergeCell ref="Q146:R147"/>
    <mergeCell ref="Q125:R125"/>
    <mergeCell ref="Q127:R127"/>
    <mergeCell ref="Q128:R128"/>
    <mergeCell ref="Q129:R131"/>
    <mergeCell ref="Q132:R133"/>
    <mergeCell ref="Q134:R135"/>
    <mergeCell ref="Q154:R154"/>
    <mergeCell ref="Q155:R155"/>
    <mergeCell ref="Q156:R156"/>
    <mergeCell ref="Q157:R157"/>
    <mergeCell ref="Q158:R158"/>
    <mergeCell ref="Q159:R159"/>
    <mergeCell ref="Q148:R149"/>
    <mergeCell ref="A150:P150"/>
    <mergeCell ref="Q150:R150"/>
    <mergeCell ref="Q151:R151"/>
    <mergeCell ref="Q152:R152"/>
    <mergeCell ref="Q153:R153"/>
    <mergeCell ref="Q166:R166"/>
    <mergeCell ref="Q167:R167"/>
    <mergeCell ref="Q168:R168"/>
    <mergeCell ref="Q169:R169"/>
    <mergeCell ref="Q170:R170"/>
    <mergeCell ref="Q171:R171"/>
    <mergeCell ref="Q160:R160"/>
    <mergeCell ref="Q161:R161"/>
    <mergeCell ref="Q162:R162"/>
    <mergeCell ref="Q163:R163"/>
    <mergeCell ref="Q164:R164"/>
    <mergeCell ref="Q165:R165"/>
    <mergeCell ref="Q184:R184"/>
    <mergeCell ref="Q185:R185"/>
    <mergeCell ref="A191:G191"/>
    <mergeCell ref="A192:G192"/>
    <mergeCell ref="A187:P187"/>
    <mergeCell ref="Q187:R187"/>
    <mergeCell ref="Q188:R188"/>
    <mergeCell ref="Q189:R189"/>
    <mergeCell ref="Q172:R172"/>
    <mergeCell ref="Q173:R173"/>
    <mergeCell ref="Q174:R176"/>
    <mergeCell ref="Q177:R179"/>
    <mergeCell ref="Q180:R182"/>
    <mergeCell ref="A183:P183"/>
    <mergeCell ref="Q183:R183"/>
  </mergeCells>
  <printOptions horizontalCentered="1"/>
  <pageMargins left="3.937007874015748E-2" right="3.937007874015748E-2" top="0.15748031496062992" bottom="0" header="0.11811023622047245" footer="0"/>
  <pageSetup paperSize="9" scale="53" fitToHeight="7" orientation="landscape" r:id="rId1"/>
  <rowBreaks count="2" manualBreakCount="2">
    <brk id="37" max="18" man="1"/>
    <brk id="63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221"/>
  <sheetViews>
    <sheetView showWhiteSpace="0" view="pageBreakPreview" zoomScale="69" zoomScaleNormal="75" zoomScaleSheetLayoutView="69" workbookViewId="0">
      <pane ySplit="5" topLeftCell="A6" activePane="bottomLeft" state="frozen"/>
      <selection pane="bottomLeft" activeCell="Q7" sqref="Q7:R7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9.140625" style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188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189</v>
      </c>
      <c r="K3" s="353" t="s">
        <v>6</v>
      </c>
      <c r="L3" s="169"/>
      <c r="M3" s="170"/>
      <c r="N3" s="169"/>
      <c r="O3" s="353" t="s">
        <v>7</v>
      </c>
      <c r="P3" s="355" t="s">
        <v>190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>I8+I72+I107+I151+I184+I188</f>
        <v>125707171.21000001</v>
      </c>
      <c r="J6" s="160">
        <f>J8+J72+J107+J151+J184+J188</f>
        <v>72798957.289999992</v>
      </c>
      <c r="K6" s="160">
        <f>K8+K72+K107+K151+K184+K188</f>
        <v>52908113.920000002</v>
      </c>
      <c r="L6" s="160" t="e">
        <f t="shared" ref="L6:N6" si="0">L8+L72+L107+L151+L184</f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100.00000001490116</v>
      </c>
      <c r="P6" s="163">
        <f>J6/I6*100</f>
        <v>57.911538847999175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I9+I61+I69</f>
        <v>24532970.259999998</v>
      </c>
      <c r="J8" s="9">
        <f>J9+J61+J69</f>
        <v>14253928.609999999</v>
      </c>
      <c r="K8" s="9">
        <f>K9+K61+K69</f>
        <v>10278941.65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>I8-J8-K8</f>
        <v>99.999999998137355</v>
      </c>
      <c r="P8" s="12">
        <f>J8/I8*100</f>
        <v>58.101112335510571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</f>
        <v>24304157.369999997</v>
      </c>
      <c r="J9" s="157">
        <f>J10+J41+J46+J48+J50+J53+J59+J56</f>
        <v>14025116.609999999</v>
      </c>
      <c r="K9" s="157">
        <f>K10+K41+K46+K48+K50+K53+K59+K56</f>
        <v>10278940.76</v>
      </c>
      <c r="L9" s="14" t="e">
        <f>L10+L41+L46+L48+L50+L53+L59+L56+L61+L69+#REF!</f>
        <v>#REF!</v>
      </c>
      <c r="M9" s="14" t="e">
        <f>M10+M41+M46+M48+M50+M53+M59+M56+M61+M69+#REF!</f>
        <v>#REF!</v>
      </c>
      <c r="N9" s="14" t="e">
        <f>N10+N41+N46+N48+N50+N53+N59+N56+N61+N69+#REF!</f>
        <v>#REF!</v>
      </c>
      <c r="O9" s="95">
        <f>I9-J9-K9</f>
        <v>99.999999998137355</v>
      </c>
      <c r="P9" s="96">
        <f t="shared" ref="P9:P60" si="1">J9/I9*100</f>
        <v>57.706656505244645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 t="shared" ref="I10:N12" si="2">I11</f>
        <v>10906429.089999998</v>
      </c>
      <c r="J10" s="17">
        <f t="shared" si="2"/>
        <v>6453823.0399999991</v>
      </c>
      <c r="K10" s="17">
        <f t="shared" si="2"/>
        <v>4452506.05</v>
      </c>
      <c r="L10" s="17" t="e">
        <f t="shared" si="2"/>
        <v>#REF!</v>
      </c>
      <c r="M10" s="17">
        <f t="shared" si="2"/>
        <v>0</v>
      </c>
      <c r="N10" s="17">
        <f t="shared" si="2"/>
        <v>0</v>
      </c>
      <c r="O10" s="20">
        <f t="shared" ref="O10:O12" si="3">I10-J10-K10</f>
        <v>99.999999999068677</v>
      </c>
      <c r="P10" s="21">
        <f t="shared" si="1"/>
        <v>59.174483112143903</v>
      </c>
      <c r="Q10" s="352"/>
      <c r="R10" s="352"/>
    </row>
    <row r="11" spans="1:50" ht="56.25" x14ac:dyDescent="0.3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10906429.089999998</v>
      </c>
      <c r="J11" s="28">
        <f t="shared" si="2"/>
        <v>6453823.0399999991</v>
      </c>
      <c r="K11" s="33">
        <f t="shared" si="2"/>
        <v>4452506.05</v>
      </c>
      <c r="L11" s="33" t="e">
        <f t="shared" si="2"/>
        <v>#REF!</v>
      </c>
      <c r="M11" s="33">
        <f t="shared" si="2"/>
        <v>0</v>
      </c>
      <c r="N11" s="33">
        <f t="shared" si="2"/>
        <v>0</v>
      </c>
      <c r="O11" s="88">
        <f t="shared" si="3"/>
        <v>99.999999999068677</v>
      </c>
      <c r="P11" s="31">
        <f t="shared" si="1"/>
        <v>59.174483112143903</v>
      </c>
      <c r="Q11" s="352"/>
      <c r="R11" s="352"/>
      <c r="T11" s="226">
        <v>124457171.20999999</v>
      </c>
      <c r="U11" s="227"/>
      <c r="V11" s="226">
        <v>51372208.350000001</v>
      </c>
    </row>
    <row r="12" spans="1:50" ht="23.25" customHeight="1" x14ac:dyDescent="0.4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 t="shared" si="2"/>
        <v>10906429.089999998</v>
      </c>
      <c r="J12" s="35">
        <f>J13</f>
        <v>6453823.0399999991</v>
      </c>
      <c r="K12" s="35">
        <f>K13</f>
        <v>4452506.05</v>
      </c>
      <c r="L12" s="87" t="e">
        <f>L13</f>
        <v>#REF!</v>
      </c>
      <c r="M12" s="176"/>
      <c r="N12" s="177"/>
      <c r="O12" s="88">
        <f t="shared" si="3"/>
        <v>99.999999999068677</v>
      </c>
      <c r="P12" s="154">
        <f t="shared" si="1"/>
        <v>59.174483112143903</v>
      </c>
      <c r="Q12" s="352"/>
      <c r="R12" s="352"/>
      <c r="T12" s="224">
        <f>124457171.21-I6</f>
        <v>-1250000.0000000149</v>
      </c>
      <c r="V12" s="225">
        <f>51372208.35-J6</f>
        <v>-21426748.93999999</v>
      </c>
    </row>
    <row r="13" spans="1:50" ht="56.25" x14ac:dyDescent="0.25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10906429.089999998</v>
      </c>
      <c r="J13" s="35">
        <f>J14+J32</f>
        <v>6453823.0399999991</v>
      </c>
      <c r="K13" s="35">
        <f>K14+K32+K28</f>
        <v>4452506.05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99.999999999068677</v>
      </c>
      <c r="P13" s="154">
        <f t="shared" si="1"/>
        <v>59.174483112143903</v>
      </c>
      <c r="Q13" s="352"/>
      <c r="R13" s="352"/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9406230.3199999984</v>
      </c>
      <c r="J14" s="28">
        <f t="shared" ref="J14:P14" si="4">J15+J22+J27+J29+J30+J31+J21+J18+J28</f>
        <v>5857466.919999999</v>
      </c>
      <c r="K14" s="28">
        <f t="shared" si="4"/>
        <v>3548763.4</v>
      </c>
      <c r="L14" s="28" t="e">
        <f t="shared" si="4"/>
        <v>#REF!</v>
      </c>
      <c r="M14" s="28">
        <f t="shared" si="4"/>
        <v>560846.60000000009</v>
      </c>
      <c r="N14" s="28">
        <f t="shared" si="4"/>
        <v>-261095.84000000008</v>
      </c>
      <c r="O14" s="28">
        <f t="shared" si="4"/>
        <v>0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1679691.74</v>
      </c>
      <c r="K15" s="28">
        <f>K16+K17</f>
        <v>1243680.72</v>
      </c>
      <c r="L15" s="28">
        <f t="shared" ref="L15:N15" si="5">L16+L17+L18</f>
        <v>343228.70999999996</v>
      </c>
      <c r="M15" s="28">
        <f t="shared" si="5"/>
        <v>604324.55000000005</v>
      </c>
      <c r="N15" s="28">
        <f t="shared" si="5"/>
        <v>-261095.84000000008</v>
      </c>
      <c r="O15" s="28">
        <f>O16+O17</f>
        <v>0</v>
      </c>
      <c r="P15" s="155">
        <f>J15/I15*100</f>
        <v>57.457329265529168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1290781.97</v>
      </c>
      <c r="K16" s="100">
        <f>I16-J16</f>
        <v>947553.26</v>
      </c>
      <c r="L16" s="100">
        <f t="shared" ref="L16:N16" si="6">J16-K16</f>
        <v>343228.70999999996</v>
      </c>
      <c r="M16" s="100">
        <f t="shared" si="6"/>
        <v>604324.55000000005</v>
      </c>
      <c r="N16" s="100">
        <f t="shared" si="6"/>
        <v>-261095.84000000008</v>
      </c>
      <c r="O16" s="153">
        <f>I16-J16-K16</f>
        <v>0</v>
      </c>
      <c r="P16" s="154">
        <f t="shared" si="1"/>
        <v>57.667053294782832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388909.77</v>
      </c>
      <c r="K17" s="100">
        <f>I17-J17</f>
        <v>296127.45999999996</v>
      </c>
      <c r="L17" s="165"/>
      <c r="M17" s="176"/>
      <c r="N17" s="177"/>
      <c r="O17" s="153">
        <f t="shared" ref="O17:O21" si="7">I17-J17-K17</f>
        <v>0</v>
      </c>
      <c r="P17" s="154">
        <f t="shared" si="1"/>
        <v>56.772063322748167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45000</v>
      </c>
      <c r="J18" s="33">
        <f t="shared" ref="J18:O18" si="8">J19+J20</f>
        <v>34711</v>
      </c>
      <c r="K18" s="28">
        <f t="shared" si="8"/>
        <v>10289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1"/>
        <v>77.135555555555555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1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23">
        <v>45000</v>
      </c>
      <c r="J20" s="35">
        <v>34711</v>
      </c>
      <c r="K20" s="35">
        <f t="shared" si="9"/>
        <v>10289</v>
      </c>
      <c r="L20" s="28"/>
      <c r="M20" s="28"/>
      <c r="N20" s="28"/>
      <c r="O20" s="35">
        <f t="shared" si="7"/>
        <v>0</v>
      </c>
      <c r="P20" s="154">
        <f t="shared" si="1"/>
        <v>77.135555555555555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33">
        <v>30000</v>
      </c>
      <c r="J21" s="28">
        <v>11077.14</v>
      </c>
      <c r="K21" s="28">
        <f t="shared" si="9"/>
        <v>18922.86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1"/>
        <v>36.923799999999993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5264109.8599999994</v>
      </c>
      <c r="J22" s="33">
        <f t="shared" ref="J22:P22" si="10">J23+J25+J26+J24</f>
        <v>3323836.9899999998</v>
      </c>
      <c r="K22" s="28">
        <f t="shared" si="10"/>
        <v>1940272.87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177.3326931074202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v>155350.32</v>
      </c>
      <c r="J23" s="23">
        <v>63277.4</v>
      </c>
      <c r="K23" s="35">
        <f>I23-J23</f>
        <v>92072.920000000013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1"/>
        <v>40.732069299889432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100000</v>
      </c>
      <c r="J24" s="23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1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v>2218116.29</v>
      </c>
      <c r="J25" s="23">
        <v>2136561.4</v>
      </c>
      <c r="K25" s="35">
        <f>I25-J25</f>
        <v>81554.89000000013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1"/>
        <v>96.32323650623384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f>2835643.25-45000</f>
        <v>2790643.25</v>
      </c>
      <c r="J26" s="23">
        <f>1158709.19-34711</f>
        <v>1123998.19</v>
      </c>
      <c r="K26" s="23">
        <f t="shared" si="11"/>
        <v>1666645.06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1"/>
        <v>40.277387301296926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v>1142243.81</v>
      </c>
      <c r="J27" s="23">
        <v>806528</v>
      </c>
      <c r="K27" s="23">
        <f t="shared" si="11"/>
        <v>335715.81000000006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1"/>
        <v>70.609093517433891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0</v>
      </c>
      <c r="J28" s="23">
        <v>100</v>
      </c>
      <c r="K28" s="23">
        <f t="shared" si="11"/>
        <v>-100</v>
      </c>
      <c r="L28" s="24">
        <f t="shared" si="13"/>
        <v>30000</v>
      </c>
      <c r="M28" s="182"/>
      <c r="N28" s="183"/>
      <c r="O28" s="25">
        <f t="shared" si="12"/>
        <v>0</v>
      </c>
      <c r="P28" s="26" t="e">
        <f t="shared" si="1"/>
        <v>#DIV/0!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v>1213.52</v>
      </c>
      <c r="J29" s="230">
        <v>1213.52</v>
      </c>
      <c r="K29" s="23">
        <f t="shared" si="11"/>
        <v>0</v>
      </c>
      <c r="L29" s="38">
        <v>15000</v>
      </c>
      <c r="M29" s="182">
        <f>J29-L29</f>
        <v>-13786.48</v>
      </c>
      <c r="N29" s="183"/>
      <c r="O29" s="25">
        <f t="shared" si="12"/>
        <v>0</v>
      </c>
      <c r="P29" s="26">
        <f t="shared" si="1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v>290.67</v>
      </c>
      <c r="J30" s="23">
        <v>308.52999999999997</v>
      </c>
      <c r="K30" s="23">
        <f t="shared" si="11"/>
        <v>-17.859999999999957</v>
      </c>
      <c r="L30" s="38">
        <v>30000</v>
      </c>
      <c r="M30" s="182">
        <f>J30-L30</f>
        <v>-29691.47</v>
      </c>
      <c r="N30" s="183"/>
      <c r="O30" s="25">
        <f t="shared" si="12"/>
        <v>0</v>
      </c>
      <c r="P30" s="26">
        <f t="shared" si="1"/>
        <v>106.14442494925515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1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1500198.77</v>
      </c>
      <c r="J32" s="33">
        <f>J34+J33+J37+J38+J39+J40+J35+J36</f>
        <v>596356.12</v>
      </c>
      <c r="K32" s="33">
        <f>K34+K33+K37+K38+K39+K40+K35+K36</f>
        <v>903842.64999999991</v>
      </c>
      <c r="L32" s="33" t="e">
        <f t="shared" ref="L32:O32" si="14">L34+L33+L37+L38+L39+L40</f>
        <v>#REF!</v>
      </c>
      <c r="M32" s="33">
        <f t="shared" si="14"/>
        <v>-4516033.04</v>
      </c>
      <c r="N32" s="33">
        <f t="shared" si="14"/>
        <v>0</v>
      </c>
      <c r="O32" s="33">
        <f t="shared" si="14"/>
        <v>0</v>
      </c>
      <c r="P32" s="31">
        <f t="shared" si="1"/>
        <v>39.751807022212127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v>642896.05000000005</v>
      </c>
      <c r="J33" s="23">
        <v>226028.95</v>
      </c>
      <c r="K33" s="23">
        <f>I33-J33</f>
        <v>416867.10000000003</v>
      </c>
      <c r="L33" s="39" t="e">
        <f>#REF!+#REF!+L76+#REF!+#REF!</f>
        <v>#REF!</v>
      </c>
      <c r="M33" s="182"/>
      <c r="N33" s="183"/>
      <c r="O33" s="25">
        <f t="shared" si="12"/>
        <v>0</v>
      </c>
      <c r="P33" s="26">
        <f t="shared" si="1"/>
        <v>35.157931052772838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40000</v>
      </c>
      <c r="J34" s="23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-2258016.52</v>
      </c>
      <c r="N34" s="23">
        <f t="shared" si="16"/>
        <v>0</v>
      </c>
      <c r="O34" s="25">
        <f t="shared" si="12"/>
        <v>0</v>
      </c>
      <c r="P34" s="26">
        <f t="shared" si="1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1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0</v>
      </c>
      <c r="J36" s="34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1"/>
        <v>#DIV/0!</v>
      </c>
      <c r="Q36" s="242"/>
      <c r="R36" s="243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v>150000</v>
      </c>
      <c r="J37" s="34">
        <v>73861.48</v>
      </c>
      <c r="K37" s="23">
        <f t="shared" si="15"/>
        <v>76138.52</v>
      </c>
      <c r="L37" s="38">
        <v>1178466</v>
      </c>
      <c r="M37" s="182">
        <f>J37-L37</f>
        <v>-1104604.52</v>
      </c>
      <c r="N37" s="183"/>
      <c r="O37" s="25">
        <f t="shared" si="12"/>
        <v>0</v>
      </c>
      <c r="P37" s="26">
        <f t="shared" si="1"/>
        <v>49.240986666666664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v>90000</v>
      </c>
      <c r="J38" s="34">
        <v>25054</v>
      </c>
      <c r="K38" s="23">
        <f t="shared" si="15"/>
        <v>64946</v>
      </c>
      <c r="L38" s="38">
        <v>1178466</v>
      </c>
      <c r="M38" s="182">
        <f>J38-L38</f>
        <v>-1153412</v>
      </c>
      <c r="N38" s="183"/>
      <c r="O38" s="25">
        <f t="shared" si="12"/>
        <v>0</v>
      </c>
      <c r="P38" s="26">
        <f t="shared" si="1"/>
        <v>27.837777777777777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v>537302.72</v>
      </c>
      <c r="J39" s="34">
        <v>248496.69</v>
      </c>
      <c r="K39" s="23">
        <f t="shared" si="15"/>
        <v>288806.02999999997</v>
      </c>
      <c r="L39" s="38"/>
      <c r="M39" s="182"/>
      <c r="N39" s="183"/>
      <c r="O39" s="25">
        <f t="shared" si="12"/>
        <v>0</v>
      </c>
      <c r="P39" s="26">
        <f t="shared" si="1"/>
        <v>46.248917183966611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v>40000</v>
      </c>
      <c r="J40" s="34">
        <v>22915</v>
      </c>
      <c r="K40" s="23">
        <f>I40-J40</f>
        <v>17085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57.287500000000001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87701.66</v>
      </c>
      <c r="K41" s="17">
        <f>K42+K44+K45+K43</f>
        <v>513754.18000000005</v>
      </c>
      <c r="L41" s="42"/>
      <c r="M41" s="186"/>
      <c r="N41" s="187"/>
      <c r="O41" s="20">
        <f>I41-K41-J41</f>
        <v>0</v>
      </c>
      <c r="P41" s="21">
        <f>J41/I41*100</f>
        <v>14.581562629768467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67402.98</v>
      </c>
      <c r="K42" s="35">
        <f>I42-J42</f>
        <v>401847.72000000003</v>
      </c>
      <c r="L42" s="45"/>
      <c r="M42" s="188"/>
      <c r="N42" s="189"/>
      <c r="O42" s="25">
        <f>I42-K42-J42</f>
        <v>0</v>
      </c>
      <c r="P42" s="26">
        <f t="shared" si="1"/>
        <v>14.363959393134628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18948.68</v>
      </c>
      <c r="K43" s="35">
        <f>I43-J43</f>
        <v>56922.46</v>
      </c>
      <c r="L43" s="45"/>
      <c r="M43" s="188"/>
      <c r="N43" s="189"/>
      <c r="O43" s="25"/>
      <c r="P43" s="26">
        <f t="shared" si="1"/>
        <v>24.974819147306867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0</v>
      </c>
      <c r="K44" s="35">
        <f t="shared" ref="K44:K45" si="17">I44-J44</f>
        <v>51834</v>
      </c>
      <c r="L44" s="45"/>
      <c r="M44" s="188"/>
      <c r="N44" s="189"/>
      <c r="O44" s="25">
        <f>I44-K44-J44</f>
        <v>0</v>
      </c>
      <c r="P44" s="26">
        <f t="shared" si="1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1350</v>
      </c>
      <c r="K45" s="35">
        <f t="shared" si="17"/>
        <v>3150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1"/>
        <v>30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377603.22</v>
      </c>
      <c r="K46" s="17">
        <f>K47</f>
        <v>872396.78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1"/>
        <v>30.2082576</v>
      </c>
      <c r="Q46" s="380"/>
      <c r="R46" s="3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v>1250000</v>
      </c>
      <c r="J47" s="23">
        <v>377603.22</v>
      </c>
      <c r="K47" s="23">
        <f>I47-J47</f>
        <v>872396.78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1"/>
        <v>30.2082576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7055703.1100000003</v>
      </c>
      <c r="K48" s="17">
        <f t="shared" si="21"/>
        <v>4388849.6900000004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61.651191036490303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v>11444552.800000001</v>
      </c>
      <c r="J49" s="34">
        <v>7055703.1100000003</v>
      </c>
      <c r="K49" s="36">
        <f>I49-J49</f>
        <v>4388849.6900000004</v>
      </c>
      <c r="L49" s="37"/>
      <c r="M49" s="182"/>
      <c r="N49" s="183"/>
      <c r="O49" s="25">
        <f>I49-J49-K49</f>
        <v>0</v>
      </c>
      <c r="P49" s="26">
        <f>J49/I49*100</f>
        <v>61.651191036490303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8252.119999999999</v>
      </c>
      <c r="K50" s="17">
        <f t="shared" si="23"/>
        <v>5116.8999999999996</v>
      </c>
      <c r="L50" s="42"/>
      <c r="M50" s="186"/>
      <c r="N50" s="187"/>
      <c r="O50" s="20">
        <f>I50-J50-K50</f>
        <v>0</v>
      </c>
      <c r="P50" s="21">
        <f t="shared" si="1"/>
        <v>61.725691187536547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6687.57</v>
      </c>
      <c r="K51" s="35">
        <f>I51-J51</f>
        <v>3580.5</v>
      </c>
      <c r="L51" s="93"/>
      <c r="M51" s="188"/>
      <c r="N51" s="189"/>
      <c r="O51" s="25">
        <f t="shared" ref="O51:O52" si="24">I51-J51-K51</f>
        <v>0</v>
      </c>
      <c r="P51" s="26">
        <f t="shared" si="1"/>
        <v>65.129766353365341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1564.55</v>
      </c>
      <c r="K52" s="35">
        <f>I52-J52</f>
        <v>1536.3999999999999</v>
      </c>
      <c r="L52" s="93"/>
      <c r="M52" s="188"/>
      <c r="N52" s="189"/>
      <c r="O52" s="25">
        <f t="shared" si="24"/>
        <v>0</v>
      </c>
      <c r="P52" s="26">
        <f t="shared" si="1"/>
        <v>50.45389316177301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42033.46</v>
      </c>
      <c r="K53" s="17">
        <f t="shared" si="25"/>
        <v>46317.16</v>
      </c>
      <c r="L53" s="42"/>
      <c r="M53" s="186"/>
      <c r="N53" s="187"/>
      <c r="O53" s="20">
        <f>I53-J53-K53</f>
        <v>0</v>
      </c>
      <c r="P53" s="21">
        <f t="shared" si="1"/>
        <v>47.575738574330323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67857.62</v>
      </c>
      <c r="J54" s="34">
        <v>32283.759999999998</v>
      </c>
      <c r="K54" s="35">
        <f>I54-J54</f>
        <v>35573.86</v>
      </c>
      <c r="L54" s="93"/>
      <c r="M54" s="188"/>
      <c r="N54" s="189"/>
      <c r="O54" s="25">
        <f t="shared" ref="O54:O55" si="26">I54-J54-K54</f>
        <v>0</v>
      </c>
      <c r="P54" s="26">
        <f t="shared" si="1"/>
        <v>47.575732835899636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20493</v>
      </c>
      <c r="J55" s="34">
        <v>9749.7000000000007</v>
      </c>
      <c r="K55" s="35">
        <f>I55-J55</f>
        <v>10743.3</v>
      </c>
      <c r="L55" s="93"/>
      <c r="M55" s="188"/>
      <c r="N55" s="189"/>
      <c r="O55" s="25">
        <f t="shared" si="26"/>
        <v>0</v>
      </c>
      <c r="P55" s="26">
        <f t="shared" si="1"/>
        <v>47.575757575757578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1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1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1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1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1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I64+I65+I66+I67+I68+I62</f>
        <v>208651</v>
      </c>
      <c r="J61" s="17">
        <f t="shared" ref="J61:N61" si="30">J64+J65+J66+J67+J68+J62</f>
        <v>208651</v>
      </c>
      <c r="K61" s="17">
        <f t="shared" si="30"/>
        <v>0</v>
      </c>
      <c r="L61" s="17" t="e">
        <f t="shared" si="30"/>
        <v>#REF!</v>
      </c>
      <c r="M61" s="17" t="e">
        <f t="shared" si="30"/>
        <v>#REF!</v>
      </c>
      <c r="N61" s="17" t="e">
        <f t="shared" si="30"/>
        <v>#REF!</v>
      </c>
      <c r="O61" s="20">
        <f>I61-J61-K61</f>
        <v>0</v>
      </c>
      <c r="P61" s="21">
        <f>J61/I61*100</f>
        <v>100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17632</v>
      </c>
      <c r="J62" s="44">
        <f>J63</f>
        <v>17632</v>
      </c>
      <c r="K62" s="33">
        <f t="shared" ref="K62:K63" si="31">I62-J62</f>
        <v>0</v>
      </c>
      <c r="L62" s="92"/>
      <c r="M62" s="184"/>
      <c r="N62" s="185"/>
      <c r="O62" s="30">
        <f t="shared" ref="O62:O66" si="32">I62-J62-K62</f>
        <v>0</v>
      </c>
      <c r="P62" s="31">
        <f t="shared" ref="P62:P68" si="33">J62/I62*100</f>
        <v>100</v>
      </c>
      <c r="Q62" s="325"/>
      <c r="R62" s="326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17632</v>
      </c>
      <c r="J63" s="23">
        <v>17632</v>
      </c>
      <c r="K63" s="23">
        <f t="shared" si="31"/>
        <v>0</v>
      </c>
      <c r="L63" s="24"/>
      <c r="M63" s="182"/>
      <c r="N63" s="183"/>
      <c r="O63" s="25">
        <f t="shared" si="32"/>
        <v>0</v>
      </c>
      <c r="P63" s="26">
        <f t="shared" si="33"/>
        <v>100</v>
      </c>
      <c r="Q63" s="325"/>
      <c r="R63" s="326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172367.78</v>
      </c>
      <c r="J64" s="23">
        <v>172367.78</v>
      </c>
      <c r="K64" s="34">
        <f>I64-J64</f>
        <v>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si="32"/>
        <v>0</v>
      </c>
      <c r="P64" s="26">
        <f t="shared" si="33"/>
        <v>100</v>
      </c>
      <c r="Q64" s="325"/>
      <c r="R64" s="326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3986.5</v>
      </c>
      <c r="J65" s="23">
        <v>3986.5</v>
      </c>
      <c r="K65" s="34">
        <f t="shared" ref="K65:K68" si="34">I65-J65</f>
        <v>0</v>
      </c>
      <c r="L65" s="38">
        <v>107900</v>
      </c>
      <c r="M65" s="182"/>
      <c r="N65" s="183"/>
      <c r="O65" s="25">
        <f t="shared" si="32"/>
        <v>0</v>
      </c>
      <c r="P65" s="26">
        <f t="shared" si="33"/>
        <v>100</v>
      </c>
      <c r="Q65" s="325"/>
      <c r="R65" s="32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x14ac:dyDescent="0.25">
      <c r="A66" s="99" t="s">
        <v>113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114</v>
      </c>
      <c r="H66" s="22"/>
      <c r="I66" s="23">
        <v>0</v>
      </c>
      <c r="J66" s="23">
        <v>0</v>
      </c>
      <c r="K66" s="34">
        <f t="shared" si="34"/>
        <v>0</v>
      </c>
      <c r="L66" s="45"/>
      <c r="M66" s="188"/>
      <c r="N66" s="189"/>
      <c r="O66" s="25">
        <f t="shared" si="32"/>
        <v>0</v>
      </c>
      <c r="P66" s="26" t="e">
        <f t="shared" si="33"/>
        <v>#DIV/0!</v>
      </c>
      <c r="Q66" s="325"/>
      <c r="R66" s="326"/>
    </row>
    <row r="67" spans="1:50" s="15" customFormat="1" ht="37.5" x14ac:dyDescent="0.25">
      <c r="A67" s="175" t="s">
        <v>109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104</v>
      </c>
      <c r="H67" s="22"/>
      <c r="I67" s="23">
        <v>14664.72</v>
      </c>
      <c r="J67" s="23">
        <v>14664.72</v>
      </c>
      <c r="K67" s="34">
        <f t="shared" si="34"/>
        <v>0</v>
      </c>
      <c r="L67" s="38">
        <v>1178466</v>
      </c>
      <c r="M67" s="182">
        <f>J67-L67</f>
        <v>-1163801.28</v>
      </c>
      <c r="N67" s="183"/>
      <c r="O67" s="25">
        <f>I67-J67-K67</f>
        <v>0</v>
      </c>
      <c r="P67" s="26">
        <v>0</v>
      </c>
      <c r="Q67" s="325"/>
      <c r="R67" s="326"/>
    </row>
    <row r="68" spans="1:50" ht="37.5" x14ac:dyDescent="0.25">
      <c r="A68" s="175" t="s">
        <v>110</v>
      </c>
      <c r="B68" s="22" t="s">
        <v>9</v>
      </c>
      <c r="C68" s="22" t="s">
        <v>12</v>
      </c>
      <c r="D68" s="22" t="s">
        <v>12</v>
      </c>
      <c r="E68" s="22" t="s">
        <v>134</v>
      </c>
      <c r="F68" s="22" t="s">
        <v>22</v>
      </c>
      <c r="G68" s="22" t="s">
        <v>105</v>
      </c>
      <c r="H68" s="22"/>
      <c r="I68" s="23">
        <v>0</v>
      </c>
      <c r="J68" s="23">
        <v>0</v>
      </c>
      <c r="K68" s="34">
        <f t="shared" si="34"/>
        <v>0</v>
      </c>
      <c r="L68" s="45" t="e">
        <f>L103</f>
        <v>#REF!</v>
      </c>
      <c r="M68" s="192"/>
      <c r="N68" s="193"/>
      <c r="O68" s="25">
        <f>I68-J68-K68</f>
        <v>0</v>
      </c>
      <c r="P68" s="26" t="e">
        <f t="shared" si="33"/>
        <v>#DIV/0!</v>
      </c>
      <c r="Q68" s="325"/>
      <c r="R68" s="326"/>
    </row>
    <row r="69" spans="1:50" ht="121.5" customHeight="1" x14ac:dyDescent="0.25">
      <c r="A69" s="190" t="s">
        <v>64</v>
      </c>
      <c r="B69" s="41" t="s">
        <v>9</v>
      </c>
      <c r="C69" s="41" t="s">
        <v>12</v>
      </c>
      <c r="D69" s="41" t="s">
        <v>12</v>
      </c>
      <c r="E69" s="41" t="s">
        <v>65</v>
      </c>
      <c r="F69" s="41"/>
      <c r="G69" s="41"/>
      <c r="H69" s="41"/>
      <c r="I69" s="17">
        <f>I70</f>
        <v>20161.89</v>
      </c>
      <c r="J69" s="17">
        <f>J70</f>
        <v>20161</v>
      </c>
      <c r="K69" s="17">
        <f>K70</f>
        <v>0.89</v>
      </c>
      <c r="L69" s="42"/>
      <c r="M69" s="186"/>
      <c r="N69" s="187"/>
      <c r="O69" s="20">
        <f>I69-J69-K69</f>
        <v>-5.8208993181096957E-13</v>
      </c>
      <c r="P69" s="21">
        <f>J69/I69*100</f>
        <v>99.995585731298007</v>
      </c>
      <c r="Q69" s="325"/>
      <c r="R69" s="326"/>
    </row>
    <row r="70" spans="1:50" ht="40.5" customHeight="1" x14ac:dyDescent="0.25">
      <c r="A70" s="175" t="s">
        <v>109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104</v>
      </c>
      <c r="H70" s="22"/>
      <c r="I70" s="23">
        <v>20161.89</v>
      </c>
      <c r="J70" s="23">
        <v>20161</v>
      </c>
      <c r="K70" s="100">
        <v>0.89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ref="O70" si="35">I70-J70-K70</f>
        <v>-5.8208993181096957E-13</v>
      </c>
      <c r="P70" s="26">
        <f t="shared" ref="P70" si="36">J70/I70*100</f>
        <v>99.995585731298007</v>
      </c>
      <c r="Q70" s="325"/>
      <c r="R70" s="326"/>
    </row>
    <row r="71" spans="1:50" s="2" customFormat="1" ht="20.25" customHeight="1" x14ac:dyDescent="0.3">
      <c r="A71" s="333" t="s">
        <v>54</v>
      </c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5"/>
      <c r="Q71" s="340"/>
      <c r="R71" s="340"/>
    </row>
    <row r="72" spans="1:50" ht="19.5" x14ac:dyDescent="0.25">
      <c r="A72" s="173" t="s">
        <v>11</v>
      </c>
      <c r="B72" s="8" t="s">
        <v>9</v>
      </c>
      <c r="C72" s="8" t="s">
        <v>12</v>
      </c>
      <c r="D72" s="8"/>
      <c r="E72" s="8"/>
      <c r="F72" s="8"/>
      <c r="G72" s="8"/>
      <c r="H72" s="8"/>
      <c r="I72" s="9">
        <f t="shared" ref="I72:N72" si="37">I73+I103</f>
        <v>77734610</v>
      </c>
      <c r="J72" s="9">
        <f t="shared" si="37"/>
        <v>48419444.449999988</v>
      </c>
      <c r="K72" s="9">
        <f t="shared" si="37"/>
        <v>29315165.550000004</v>
      </c>
      <c r="L72" s="9" t="e">
        <f t="shared" si="37"/>
        <v>#REF!</v>
      </c>
      <c r="M72" s="9" t="e">
        <f t="shared" si="37"/>
        <v>#REF!</v>
      </c>
      <c r="N72" s="9" t="e">
        <f t="shared" si="37"/>
        <v>#REF!</v>
      </c>
      <c r="O72" s="11">
        <f>I72-J72-K72</f>
        <v>0</v>
      </c>
      <c r="P72" s="12">
        <f>J72/I72*100</f>
        <v>62.288142244490565</v>
      </c>
      <c r="Q72" s="331"/>
      <c r="R72" s="331"/>
    </row>
    <row r="73" spans="1:50" s="15" customFormat="1" ht="19.5" x14ac:dyDescent="0.25">
      <c r="A73" s="174" t="s">
        <v>13</v>
      </c>
      <c r="B73" s="13" t="s">
        <v>9</v>
      </c>
      <c r="C73" s="13" t="s">
        <v>12</v>
      </c>
      <c r="D73" s="13" t="s">
        <v>14</v>
      </c>
      <c r="E73" s="13"/>
      <c r="F73" s="13"/>
      <c r="G73" s="13"/>
      <c r="H73" s="13"/>
      <c r="I73" s="157">
        <f>I74+I91+I94+I100+I97</f>
        <v>77351534</v>
      </c>
      <c r="J73" s="157">
        <f>J74+J91+J94+J100+J97</f>
        <v>48036368.449999988</v>
      </c>
      <c r="K73" s="14">
        <f>K74+K91+K94+K100+K97</f>
        <v>29315165.550000004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7">
        <f t="shared" ref="I73:O76" si="38">O74</f>
        <v>0</v>
      </c>
      <c r="P73" s="48">
        <f>J73/I73*100</f>
        <v>62.101377911910561</v>
      </c>
      <c r="Q73" s="331"/>
      <c r="R73" s="331"/>
    </row>
    <row r="74" spans="1:50" s="19" customFormat="1" ht="37.5" x14ac:dyDescent="0.25">
      <c r="A74" s="40" t="s">
        <v>15</v>
      </c>
      <c r="B74" s="41" t="s">
        <v>9</v>
      </c>
      <c r="C74" s="41" t="s">
        <v>12</v>
      </c>
      <c r="D74" s="41" t="s">
        <v>14</v>
      </c>
      <c r="E74" s="41" t="s">
        <v>55</v>
      </c>
      <c r="F74" s="41"/>
      <c r="G74" s="41"/>
      <c r="H74" s="41"/>
      <c r="I74" s="17">
        <f>I75</f>
        <v>73536924.890000001</v>
      </c>
      <c r="J74" s="17">
        <f>J75</f>
        <v>46335929.149999991</v>
      </c>
      <c r="K74" s="17">
        <f t="shared" si="38"/>
        <v>27200995.740000002</v>
      </c>
      <c r="L74" s="17">
        <f t="shared" si="38"/>
        <v>0</v>
      </c>
      <c r="M74" s="17">
        <f t="shared" si="38"/>
        <v>0</v>
      </c>
      <c r="N74" s="17">
        <f t="shared" si="38"/>
        <v>0</v>
      </c>
      <c r="O74" s="17">
        <f t="shared" si="38"/>
        <v>0</v>
      </c>
      <c r="P74" s="21">
        <f t="shared" ref="P74:P102" si="39">J74/I74*100</f>
        <v>63.010425333003063</v>
      </c>
      <c r="Q74" s="346"/>
      <c r="R74" s="346"/>
    </row>
    <row r="75" spans="1:50" s="15" customFormat="1" ht="56.25" x14ac:dyDescent="0.25">
      <c r="A75" s="194" t="s">
        <v>17</v>
      </c>
      <c r="B75" s="27" t="s">
        <v>9</v>
      </c>
      <c r="C75" s="27" t="s">
        <v>12</v>
      </c>
      <c r="D75" s="27" t="s">
        <v>14</v>
      </c>
      <c r="E75" s="27" t="s">
        <v>55</v>
      </c>
      <c r="F75" s="27"/>
      <c r="G75" s="27"/>
      <c r="H75" s="27"/>
      <c r="I75" s="28">
        <f t="shared" si="38"/>
        <v>73536924.890000001</v>
      </c>
      <c r="J75" s="156">
        <f>J76</f>
        <v>46335929.149999991</v>
      </c>
      <c r="K75" s="44">
        <f t="shared" si="38"/>
        <v>27200995.740000002</v>
      </c>
      <c r="L75" s="24"/>
      <c r="M75" s="184"/>
      <c r="N75" s="185"/>
      <c r="O75" s="30">
        <f t="shared" ref="O75:O105" si="40">I75-J75-K75</f>
        <v>0</v>
      </c>
      <c r="P75" s="31">
        <f t="shared" si="39"/>
        <v>63.010425333003063</v>
      </c>
      <c r="Q75" s="331"/>
      <c r="R75" s="331"/>
      <c r="S75" s="1"/>
      <c r="T75" s="1"/>
      <c r="U75" s="1"/>
      <c r="V75" s="1"/>
      <c r="W75" s="1"/>
      <c r="X75" s="1"/>
      <c r="Y75" s="1"/>
    </row>
    <row r="76" spans="1:50" s="15" customFormat="1" ht="18.75" x14ac:dyDescent="0.25">
      <c r="A76" s="99" t="s">
        <v>19</v>
      </c>
      <c r="B76" s="22" t="s">
        <v>9</v>
      </c>
      <c r="C76" s="22" t="s">
        <v>12</v>
      </c>
      <c r="D76" s="22" t="s">
        <v>14</v>
      </c>
      <c r="E76" s="22" t="s">
        <v>55</v>
      </c>
      <c r="F76" s="22" t="s">
        <v>20</v>
      </c>
      <c r="G76" s="22"/>
      <c r="H76" s="22"/>
      <c r="I76" s="28">
        <f t="shared" si="38"/>
        <v>73536924.890000001</v>
      </c>
      <c r="J76" s="156">
        <f t="shared" si="38"/>
        <v>46335929.149999991</v>
      </c>
      <c r="K76" s="44">
        <f t="shared" si="38"/>
        <v>27200995.740000002</v>
      </c>
      <c r="L76" s="38"/>
      <c r="M76" s="184"/>
      <c r="N76" s="185"/>
      <c r="O76" s="30">
        <f t="shared" si="40"/>
        <v>0</v>
      </c>
      <c r="P76" s="31">
        <f t="shared" si="39"/>
        <v>63.010425333003063</v>
      </c>
      <c r="Q76" s="331"/>
      <c r="R76" s="331"/>
      <c r="S76" s="1"/>
      <c r="T76" s="1"/>
      <c r="U76" s="1"/>
      <c r="V76" s="1"/>
      <c r="W76" s="1"/>
      <c r="X76" s="1"/>
      <c r="Y76" s="1"/>
    </row>
    <row r="77" spans="1:50" s="2" customFormat="1" ht="56.25" x14ac:dyDescent="0.25">
      <c r="A77" s="99" t="s">
        <v>21</v>
      </c>
      <c r="B77" s="22" t="s">
        <v>9</v>
      </c>
      <c r="C77" s="22" t="s">
        <v>12</v>
      </c>
      <c r="D77" s="22" t="s">
        <v>14</v>
      </c>
      <c r="E77" s="22" t="s">
        <v>55</v>
      </c>
      <c r="F77" s="22" t="s">
        <v>22</v>
      </c>
      <c r="G77" s="22"/>
      <c r="H77" s="22"/>
      <c r="I77" s="28">
        <f t="shared" ref="I77:N77" si="41">I78+I88</f>
        <v>73536924.890000001</v>
      </c>
      <c r="J77" s="28">
        <f t="shared" si="41"/>
        <v>46335929.149999991</v>
      </c>
      <c r="K77" s="33">
        <f t="shared" si="41"/>
        <v>27200995.740000002</v>
      </c>
      <c r="L77" s="33" t="e">
        <f t="shared" si="41"/>
        <v>#REF!</v>
      </c>
      <c r="M77" s="33" t="e">
        <f t="shared" si="41"/>
        <v>#REF!</v>
      </c>
      <c r="N77" s="33" t="e">
        <f t="shared" si="41"/>
        <v>#REF!</v>
      </c>
      <c r="O77" s="30">
        <f t="shared" si="40"/>
        <v>0</v>
      </c>
      <c r="P77" s="31">
        <f t="shared" si="39"/>
        <v>63.010425333003063</v>
      </c>
      <c r="Q77" s="331"/>
      <c r="R77" s="33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8.75" x14ac:dyDescent="0.25">
      <c r="A78" s="99" t="s">
        <v>23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22</v>
      </c>
      <c r="G78" s="22" t="s">
        <v>24</v>
      </c>
      <c r="H78" s="22"/>
      <c r="I78" s="28">
        <f>I79+I86+I85+I83</f>
        <v>70313524.890000001</v>
      </c>
      <c r="J78" s="28">
        <f>J79+J86+J85+J83</f>
        <v>44920893.039999992</v>
      </c>
      <c r="K78" s="33">
        <f>K79+K86+K85+K83</f>
        <v>25392631.850000001</v>
      </c>
      <c r="L78" s="33" t="e">
        <f>L79+L86+#REF!</f>
        <v>#REF!</v>
      </c>
      <c r="M78" s="33" t="e">
        <f>M79+M86+#REF!</f>
        <v>#REF!</v>
      </c>
      <c r="N78" s="33" t="e">
        <f>N79+N86+#REF!</f>
        <v>#REF!</v>
      </c>
      <c r="O78" s="30">
        <f t="shared" si="40"/>
        <v>0</v>
      </c>
      <c r="P78" s="31">
        <f t="shared" si="39"/>
        <v>63.886561099411821</v>
      </c>
      <c r="Q78" s="331"/>
      <c r="R78" s="331"/>
    </row>
    <row r="79" spans="1:50" ht="18.75" x14ac:dyDescent="0.25">
      <c r="A79" s="99" t="s">
        <v>25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 t="s">
        <v>26</v>
      </c>
      <c r="H79" s="22"/>
      <c r="I79" s="28">
        <f>I80+I81+I82</f>
        <v>69377524.890000001</v>
      </c>
      <c r="J79" s="28">
        <f t="shared" ref="J79:K79" si="42">J80+J81+J82</f>
        <v>44400801.109999999</v>
      </c>
      <c r="K79" s="33">
        <f t="shared" si="42"/>
        <v>24976723.780000001</v>
      </c>
      <c r="L79" s="33" t="e">
        <f>L80+#REF!+L81</f>
        <v>#REF!</v>
      </c>
      <c r="M79" s="33" t="e">
        <f>M80+#REF!+M81</f>
        <v>#REF!</v>
      </c>
      <c r="N79" s="33" t="e">
        <f>N80+#REF!+N81</f>
        <v>#REF!</v>
      </c>
      <c r="O79" s="30">
        <f t="shared" si="40"/>
        <v>0</v>
      </c>
      <c r="P79" s="31">
        <f t="shared" si="39"/>
        <v>63.998825528005945</v>
      </c>
      <c r="Q79" s="331"/>
      <c r="R79" s="331"/>
    </row>
    <row r="80" spans="1:50" ht="18.75" x14ac:dyDescent="0.25">
      <c r="A80" s="99" t="s">
        <v>27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28</v>
      </c>
      <c r="H80" s="22"/>
      <c r="I80" s="23">
        <v>53227407.75</v>
      </c>
      <c r="J80" s="23">
        <v>34139807.140000001</v>
      </c>
      <c r="K80" s="23">
        <f>I80-J80</f>
        <v>19087600.609999999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5">
        <f t="shared" si="40"/>
        <v>0</v>
      </c>
      <c r="P80" s="26">
        <f t="shared" si="39"/>
        <v>64.139526201142118</v>
      </c>
      <c r="Q80" s="331"/>
      <c r="R80" s="331"/>
    </row>
    <row r="81" spans="1:50" ht="18.75" x14ac:dyDescent="0.25">
      <c r="A81" s="175" t="s">
        <v>29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30</v>
      </c>
      <c r="H81" s="22"/>
      <c r="I81" s="23">
        <v>9000</v>
      </c>
      <c r="J81" s="23">
        <v>2200</v>
      </c>
      <c r="K81" s="23">
        <f t="shared" ref="K81" si="43">I81-J81</f>
        <v>6800</v>
      </c>
      <c r="L81" s="23" t="e">
        <f>#REF!+#REF!</f>
        <v>#REF!</v>
      </c>
      <c r="M81" s="23" t="e">
        <f>#REF!+#REF!</f>
        <v>#REF!</v>
      </c>
      <c r="N81" s="23" t="e">
        <f>#REF!+#REF!</f>
        <v>#REF!</v>
      </c>
      <c r="O81" s="25">
        <f t="shared" si="40"/>
        <v>0</v>
      </c>
      <c r="P81" s="26">
        <f t="shared" si="39"/>
        <v>24.444444444444443</v>
      </c>
      <c r="Q81" s="331"/>
      <c r="R81" s="331"/>
    </row>
    <row r="82" spans="1:50" ht="21.75" customHeight="1" x14ac:dyDescent="0.25">
      <c r="A82" s="175" t="s">
        <v>31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32</v>
      </c>
      <c r="H82" s="22"/>
      <c r="I82" s="23">
        <v>16141117.140000001</v>
      </c>
      <c r="J82" s="34">
        <v>10258793.970000001</v>
      </c>
      <c r="K82" s="23">
        <f>I82-J82</f>
        <v>5882323.1699999999</v>
      </c>
      <c r="L82" s="24" t="e">
        <f>#REF!</f>
        <v>#REF!</v>
      </c>
      <c r="M82" s="182"/>
      <c r="N82" s="183"/>
      <c r="O82" s="25">
        <f t="shared" si="40"/>
        <v>0</v>
      </c>
      <c r="P82" s="26">
        <f t="shared" si="39"/>
        <v>63.556901799425269</v>
      </c>
      <c r="Q82" s="343"/>
      <c r="R82" s="343"/>
    </row>
    <row r="83" spans="1:50" ht="21.75" customHeight="1" x14ac:dyDescent="0.25">
      <c r="A83" s="179" t="s">
        <v>33</v>
      </c>
      <c r="B83" s="27" t="s">
        <v>9</v>
      </c>
      <c r="C83" s="27" t="s">
        <v>12</v>
      </c>
      <c r="D83" s="27" t="s">
        <v>14</v>
      </c>
      <c r="E83" s="27" t="s">
        <v>55</v>
      </c>
      <c r="F83" s="27" t="s">
        <v>22</v>
      </c>
      <c r="G83" s="27" t="s">
        <v>34</v>
      </c>
      <c r="H83" s="22"/>
      <c r="I83" s="33">
        <f>I84</f>
        <v>186000</v>
      </c>
      <c r="J83" s="44">
        <f>J84</f>
        <v>62939.4</v>
      </c>
      <c r="K83" s="33">
        <f t="shared" ref="K83:K84" si="44">I83-J83</f>
        <v>123060.6</v>
      </c>
      <c r="L83" s="92"/>
      <c r="M83" s="184"/>
      <c r="N83" s="185"/>
      <c r="O83" s="30">
        <f t="shared" si="40"/>
        <v>0</v>
      </c>
      <c r="P83" s="31">
        <f t="shared" si="39"/>
        <v>33.838387096774191</v>
      </c>
      <c r="Q83" s="344"/>
      <c r="R83" s="345"/>
    </row>
    <row r="84" spans="1:50" ht="24" customHeight="1" x14ac:dyDescent="0.25">
      <c r="A84" s="99" t="s">
        <v>43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44</v>
      </c>
      <c r="H84" s="22"/>
      <c r="I84" s="23">
        <v>186000</v>
      </c>
      <c r="J84" s="34">
        <v>62939.4</v>
      </c>
      <c r="K84" s="23">
        <f t="shared" si="44"/>
        <v>123060.6</v>
      </c>
      <c r="L84" s="24"/>
      <c r="M84" s="182"/>
      <c r="N84" s="183"/>
      <c r="O84" s="25">
        <f t="shared" si="40"/>
        <v>0</v>
      </c>
      <c r="P84" s="26">
        <f t="shared" si="39"/>
        <v>33.838387096774191</v>
      </c>
      <c r="Q84" s="344"/>
      <c r="R84" s="345"/>
    </row>
    <row r="85" spans="1:50" ht="42" customHeight="1" x14ac:dyDescent="0.25">
      <c r="A85" s="179" t="s">
        <v>93</v>
      </c>
      <c r="B85" s="27" t="s">
        <v>9</v>
      </c>
      <c r="C85" s="27" t="s">
        <v>12</v>
      </c>
      <c r="D85" s="27" t="s">
        <v>14</v>
      </c>
      <c r="E85" s="27" t="s">
        <v>55</v>
      </c>
      <c r="F85" s="27" t="s">
        <v>22</v>
      </c>
      <c r="G85" s="27" t="s">
        <v>94</v>
      </c>
      <c r="H85" s="27"/>
      <c r="I85" s="33">
        <v>220000</v>
      </c>
      <c r="J85" s="44">
        <v>213484.98</v>
      </c>
      <c r="K85" s="28">
        <f>I85-J85</f>
        <v>6515.0199999999895</v>
      </c>
      <c r="L85" s="94">
        <v>802458</v>
      </c>
      <c r="M85" s="184">
        <f>L85</f>
        <v>802458</v>
      </c>
      <c r="N85" s="185"/>
      <c r="O85" s="30">
        <f>I85-J85-K85</f>
        <v>0</v>
      </c>
      <c r="P85" s="31">
        <v>0</v>
      </c>
      <c r="Q85" s="344"/>
      <c r="R85" s="345"/>
    </row>
    <row r="86" spans="1:50" ht="18.75" x14ac:dyDescent="0.25">
      <c r="A86" s="179" t="s">
        <v>33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34</v>
      </c>
      <c r="H86" s="27"/>
      <c r="I86" s="33">
        <f>I87</f>
        <v>530000</v>
      </c>
      <c r="J86" s="33">
        <f t="shared" ref="J86:P86" si="45">J87</f>
        <v>243667.55000000002</v>
      </c>
      <c r="K86" s="28">
        <f t="shared" si="45"/>
        <v>286332.44999999995</v>
      </c>
      <c r="L86" s="28" t="e">
        <f t="shared" si="45"/>
        <v>#REF!</v>
      </c>
      <c r="M86" s="28" t="e">
        <f t="shared" si="45"/>
        <v>#REF!</v>
      </c>
      <c r="N86" s="28" t="e">
        <f t="shared" si="45"/>
        <v>#REF!</v>
      </c>
      <c r="O86" s="28">
        <f t="shared" si="45"/>
        <v>0</v>
      </c>
      <c r="P86" s="28">
        <f t="shared" si="45"/>
        <v>45.975009433962263</v>
      </c>
      <c r="Q86" s="331"/>
      <c r="R86" s="331"/>
    </row>
    <row r="87" spans="1:50" ht="18.75" x14ac:dyDescent="0.25">
      <c r="A87" s="99" t="s">
        <v>43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44</v>
      </c>
      <c r="H87" s="22"/>
      <c r="I87" s="23">
        <f>716000-186000</f>
        <v>530000</v>
      </c>
      <c r="J87" s="23">
        <f>306606.95-62939.4</f>
        <v>243667.55000000002</v>
      </c>
      <c r="K87" s="35">
        <f>I87-J87</f>
        <v>286332.44999999995</v>
      </c>
      <c r="L87" s="35" t="e">
        <f>L85+#REF!+#REF!</f>
        <v>#REF!</v>
      </c>
      <c r="M87" s="35" t="e">
        <f>M85+#REF!+#REF!</f>
        <v>#REF!</v>
      </c>
      <c r="N87" s="35" t="e">
        <f>N85+#REF!+#REF!</f>
        <v>#REF!</v>
      </c>
      <c r="O87" s="153">
        <f t="shared" si="40"/>
        <v>0</v>
      </c>
      <c r="P87" s="154">
        <f t="shared" si="39"/>
        <v>45.975009433962263</v>
      </c>
      <c r="Q87" s="331"/>
      <c r="R87" s="331"/>
    </row>
    <row r="88" spans="1:50" s="2" customFormat="1" ht="18.75" x14ac:dyDescent="0.25">
      <c r="A88" s="194" t="s">
        <v>45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46</v>
      </c>
      <c r="H88" s="27"/>
      <c r="I88" s="33">
        <f>I89+I90</f>
        <v>3223400</v>
      </c>
      <c r="J88" s="33">
        <f t="shared" ref="J88:N88" si="46">J89+J90</f>
        <v>1415036.11</v>
      </c>
      <c r="K88" s="28">
        <f t="shared" si="46"/>
        <v>1808363.89</v>
      </c>
      <c r="L88" s="28" t="e">
        <f t="shared" si="46"/>
        <v>#REF!</v>
      </c>
      <c r="M88" s="28">
        <f t="shared" si="46"/>
        <v>0</v>
      </c>
      <c r="N88" s="28">
        <f t="shared" si="46"/>
        <v>0</v>
      </c>
      <c r="O88" s="88">
        <f t="shared" si="40"/>
        <v>0</v>
      </c>
      <c r="P88" s="155">
        <f t="shared" si="39"/>
        <v>43.898867965502269</v>
      </c>
      <c r="Q88" s="341"/>
      <c r="R88" s="341"/>
      <c r="S88" s="15"/>
      <c r="T88" s="15"/>
      <c r="U88" s="15"/>
      <c r="V88" s="15"/>
      <c r="W88" s="15"/>
      <c r="X88" s="15"/>
      <c r="Y88" s="1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8.75" x14ac:dyDescent="0.25">
      <c r="A89" s="99" t="s">
        <v>47</v>
      </c>
      <c r="B89" s="22" t="s">
        <v>9</v>
      </c>
      <c r="C89" s="22" t="s">
        <v>12</v>
      </c>
      <c r="D89" s="22" t="s">
        <v>14</v>
      </c>
      <c r="E89" s="22" t="s">
        <v>55</v>
      </c>
      <c r="F89" s="22" t="s">
        <v>22</v>
      </c>
      <c r="G89" s="22" t="s">
        <v>48</v>
      </c>
      <c r="H89" s="22"/>
      <c r="I89" s="23">
        <v>2693400</v>
      </c>
      <c r="J89" s="23">
        <v>1414196.11</v>
      </c>
      <c r="K89" s="35">
        <f t="shared" ref="K89:K90" si="47">I89-J89</f>
        <v>1279203.8899999999</v>
      </c>
      <c r="L89" s="50" t="e">
        <f>L90+#REF!+#REF!+#REF!+#REF!</f>
        <v>#REF!</v>
      </c>
      <c r="M89" s="176"/>
      <c r="N89" s="177"/>
      <c r="O89" s="153">
        <f t="shared" si="40"/>
        <v>0</v>
      </c>
      <c r="P89" s="154">
        <f t="shared" si="39"/>
        <v>52.505981658869835</v>
      </c>
      <c r="Q89" s="341"/>
      <c r="R89" s="341"/>
    </row>
    <row r="90" spans="1:50" ht="37.5" x14ac:dyDescent="0.25">
      <c r="A90" s="175" t="s">
        <v>109</v>
      </c>
      <c r="B90" s="22" t="s">
        <v>9</v>
      </c>
      <c r="C90" s="22" t="s">
        <v>12</v>
      </c>
      <c r="D90" s="22" t="s">
        <v>14</v>
      </c>
      <c r="E90" s="22" t="s">
        <v>55</v>
      </c>
      <c r="F90" s="22" t="s">
        <v>22</v>
      </c>
      <c r="G90" s="22" t="s">
        <v>104</v>
      </c>
      <c r="H90" s="22"/>
      <c r="I90" s="23">
        <v>530000</v>
      </c>
      <c r="J90" s="34">
        <v>840</v>
      </c>
      <c r="K90" s="35">
        <f t="shared" si="47"/>
        <v>529160</v>
      </c>
      <c r="L90" s="50" t="e">
        <f>#REF!</f>
        <v>#REF!</v>
      </c>
      <c r="M90" s="176"/>
      <c r="N90" s="177"/>
      <c r="O90" s="153">
        <f t="shared" si="40"/>
        <v>0</v>
      </c>
      <c r="P90" s="154">
        <f t="shared" si="39"/>
        <v>0.15849056603773584</v>
      </c>
      <c r="Q90" s="342"/>
      <c r="R90" s="342"/>
    </row>
    <row r="91" spans="1:50" s="2" customFormat="1" ht="118.5" customHeight="1" x14ac:dyDescent="0.25">
      <c r="A91" s="86" t="s">
        <v>130</v>
      </c>
      <c r="B91" s="41" t="s">
        <v>9</v>
      </c>
      <c r="C91" s="41" t="s">
        <v>12</v>
      </c>
      <c r="D91" s="41" t="s">
        <v>14</v>
      </c>
      <c r="E91" s="41" t="s">
        <v>57</v>
      </c>
      <c r="F91" s="41" t="s">
        <v>22</v>
      </c>
      <c r="G91" s="16"/>
      <c r="H91" s="16"/>
      <c r="I91" s="17">
        <f>I92+I93</f>
        <v>254011.41</v>
      </c>
      <c r="J91" s="17">
        <f t="shared" ref="J91:K91" si="48">J92+J93</f>
        <v>171643.78999999998</v>
      </c>
      <c r="K91" s="17">
        <f t="shared" si="48"/>
        <v>82367.62000000001</v>
      </c>
      <c r="L91" s="42"/>
      <c r="M91" s="186"/>
      <c r="N91" s="187"/>
      <c r="O91" s="20">
        <f t="shared" si="40"/>
        <v>0</v>
      </c>
      <c r="P91" s="21">
        <f t="shared" si="39"/>
        <v>67.573259799628687</v>
      </c>
      <c r="Q91" s="331"/>
      <c r="R91" s="33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s="2" customFormat="1" ht="18.75" x14ac:dyDescent="0.25">
      <c r="A92" s="175" t="s">
        <v>27</v>
      </c>
      <c r="B92" s="43" t="s">
        <v>9</v>
      </c>
      <c r="C92" s="43" t="s">
        <v>12</v>
      </c>
      <c r="D92" s="43" t="s">
        <v>14</v>
      </c>
      <c r="E92" s="43" t="s">
        <v>57</v>
      </c>
      <c r="F92" s="43" t="s">
        <v>22</v>
      </c>
      <c r="G92" s="43" t="s">
        <v>28</v>
      </c>
      <c r="H92" s="43"/>
      <c r="I92" s="23">
        <v>195093.25</v>
      </c>
      <c r="J92" s="34">
        <v>141917.51999999999</v>
      </c>
      <c r="K92" s="35">
        <f t="shared" ref="K92:K93" si="49">I92-J92</f>
        <v>53175.73000000001</v>
      </c>
      <c r="L92" s="93"/>
      <c r="M92" s="188"/>
      <c r="N92" s="189"/>
      <c r="O92" s="25">
        <f t="shared" si="40"/>
        <v>0</v>
      </c>
      <c r="P92" s="26">
        <f t="shared" si="39"/>
        <v>72.74342910377473</v>
      </c>
      <c r="Q92" s="331"/>
      <c r="R92" s="33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15" customFormat="1" ht="18.75" x14ac:dyDescent="0.25">
      <c r="A93" s="99" t="s">
        <v>31</v>
      </c>
      <c r="B93" s="43" t="s">
        <v>9</v>
      </c>
      <c r="C93" s="43" t="s">
        <v>12</v>
      </c>
      <c r="D93" s="43" t="s">
        <v>14</v>
      </c>
      <c r="E93" s="43" t="s">
        <v>57</v>
      </c>
      <c r="F93" s="43" t="s">
        <v>22</v>
      </c>
      <c r="G93" s="103">
        <v>213</v>
      </c>
      <c r="H93" s="22"/>
      <c r="I93" s="23">
        <v>58918.16</v>
      </c>
      <c r="J93" s="34">
        <v>29726.27</v>
      </c>
      <c r="K93" s="35">
        <f t="shared" si="49"/>
        <v>29191.890000000003</v>
      </c>
      <c r="L93" s="93"/>
      <c r="M93" s="188"/>
      <c r="N93" s="189"/>
      <c r="O93" s="25">
        <f t="shared" si="40"/>
        <v>0</v>
      </c>
      <c r="P93" s="26">
        <f t="shared" si="39"/>
        <v>50.45349345600745</v>
      </c>
      <c r="Q93" s="331"/>
      <c r="R93" s="331"/>
    </row>
    <row r="94" spans="1:50" s="15" customFormat="1" ht="118.5" customHeight="1" x14ac:dyDescent="0.25">
      <c r="A94" s="86" t="s">
        <v>131</v>
      </c>
      <c r="B94" s="41" t="s">
        <v>9</v>
      </c>
      <c r="C94" s="41" t="s">
        <v>12</v>
      </c>
      <c r="D94" s="41" t="s">
        <v>14</v>
      </c>
      <c r="E94" s="41" t="s">
        <v>57</v>
      </c>
      <c r="F94" s="41" t="s">
        <v>22</v>
      </c>
      <c r="G94" s="16"/>
      <c r="H94" s="16"/>
      <c r="I94" s="17">
        <f>I95+I96</f>
        <v>1678661.9200000002</v>
      </c>
      <c r="J94" s="17">
        <f t="shared" ref="J94:K94" si="50">J95+J96</f>
        <v>798635.58000000007</v>
      </c>
      <c r="K94" s="17">
        <f t="shared" si="50"/>
        <v>880026.34000000008</v>
      </c>
      <c r="L94" s="42"/>
      <c r="M94" s="186"/>
      <c r="N94" s="187"/>
      <c r="O94" s="20">
        <f t="shared" si="40"/>
        <v>0</v>
      </c>
      <c r="P94" s="21">
        <f t="shared" si="39"/>
        <v>47.575725075124119</v>
      </c>
      <c r="Q94" s="338"/>
      <c r="R94" s="339"/>
    </row>
    <row r="95" spans="1:50" s="15" customFormat="1" ht="18.75" x14ac:dyDescent="0.25">
      <c r="A95" s="175" t="s">
        <v>27</v>
      </c>
      <c r="B95" s="43" t="s">
        <v>9</v>
      </c>
      <c r="C95" s="43" t="s">
        <v>12</v>
      </c>
      <c r="D95" s="43" t="s">
        <v>14</v>
      </c>
      <c r="E95" s="43" t="s">
        <v>57</v>
      </c>
      <c r="F95" s="43" t="s">
        <v>22</v>
      </c>
      <c r="G95" s="43" t="s">
        <v>28</v>
      </c>
      <c r="H95" s="43"/>
      <c r="I95" s="23">
        <v>1289294.8700000001</v>
      </c>
      <c r="J95" s="34">
        <v>613391.38</v>
      </c>
      <c r="K95" s="35">
        <f t="shared" ref="K95:K96" si="51">I95-J95</f>
        <v>675903.49000000011</v>
      </c>
      <c r="L95" s="93"/>
      <c r="M95" s="188"/>
      <c r="N95" s="189"/>
      <c r="O95" s="25">
        <f t="shared" si="40"/>
        <v>0</v>
      </c>
      <c r="P95" s="26">
        <f t="shared" si="39"/>
        <v>47.575724861140564</v>
      </c>
      <c r="Q95" s="338"/>
      <c r="R95" s="339"/>
    </row>
    <row r="96" spans="1:50" s="15" customFormat="1" ht="18.75" x14ac:dyDescent="0.25">
      <c r="A96" s="99" t="s">
        <v>31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103">
        <v>213</v>
      </c>
      <c r="H96" s="22"/>
      <c r="I96" s="23">
        <v>389367.05</v>
      </c>
      <c r="J96" s="34">
        <v>185244.2</v>
      </c>
      <c r="K96" s="35">
        <f t="shared" si="51"/>
        <v>204122.84999999998</v>
      </c>
      <c r="L96" s="93"/>
      <c r="M96" s="188"/>
      <c r="N96" s="189"/>
      <c r="O96" s="25">
        <f t="shared" si="40"/>
        <v>0</v>
      </c>
      <c r="P96" s="26">
        <f t="shared" si="39"/>
        <v>47.575725783678926</v>
      </c>
      <c r="Q96" s="338"/>
      <c r="R96" s="339"/>
    </row>
    <row r="97" spans="1:50" s="15" customFormat="1" ht="118.5" hidden="1" customHeight="1" x14ac:dyDescent="0.25">
      <c r="A97" s="86" t="s">
        <v>131</v>
      </c>
      <c r="B97" s="41" t="s">
        <v>9</v>
      </c>
      <c r="C97" s="41" t="s">
        <v>12</v>
      </c>
      <c r="D97" s="41" t="s">
        <v>14</v>
      </c>
      <c r="E97" s="41" t="s">
        <v>152</v>
      </c>
      <c r="F97" s="41" t="s">
        <v>22</v>
      </c>
      <c r="G97" s="16"/>
      <c r="H97" s="16"/>
      <c r="I97" s="17">
        <f>I98+I99</f>
        <v>0</v>
      </c>
      <c r="J97" s="17">
        <f t="shared" ref="J97:K97" si="52">J98+J99</f>
        <v>0</v>
      </c>
      <c r="K97" s="17">
        <f t="shared" si="52"/>
        <v>0</v>
      </c>
      <c r="L97" s="42"/>
      <c r="M97" s="186"/>
      <c r="N97" s="187"/>
      <c r="O97" s="20">
        <f t="shared" si="40"/>
        <v>0</v>
      </c>
      <c r="P97" s="21" t="e">
        <f t="shared" si="39"/>
        <v>#DIV/0!</v>
      </c>
      <c r="Q97" s="338"/>
      <c r="R97" s="339"/>
    </row>
    <row r="98" spans="1:50" s="15" customFormat="1" ht="18.75" hidden="1" x14ac:dyDescent="0.25">
      <c r="A98" s="175" t="s">
        <v>27</v>
      </c>
      <c r="B98" s="43" t="s">
        <v>9</v>
      </c>
      <c r="C98" s="43" t="s">
        <v>12</v>
      </c>
      <c r="D98" s="43" t="s">
        <v>14</v>
      </c>
      <c r="E98" s="43" t="s">
        <v>152</v>
      </c>
      <c r="F98" s="43" t="s">
        <v>22</v>
      </c>
      <c r="G98" s="43" t="s">
        <v>28</v>
      </c>
      <c r="H98" s="43"/>
      <c r="I98" s="121">
        <v>0</v>
      </c>
      <c r="J98" s="122">
        <v>0</v>
      </c>
      <c r="K98" s="35">
        <f>I98-J98</f>
        <v>0</v>
      </c>
      <c r="L98" s="93"/>
      <c r="M98" s="188"/>
      <c r="N98" s="189"/>
      <c r="O98" s="25">
        <f>I98-J98-K98</f>
        <v>0</v>
      </c>
      <c r="P98" s="26" t="e">
        <f t="shared" si="39"/>
        <v>#DIV/0!</v>
      </c>
      <c r="Q98" s="338"/>
      <c r="R98" s="339"/>
    </row>
    <row r="99" spans="1:50" s="15" customFormat="1" ht="18.75" hidden="1" x14ac:dyDescent="0.25">
      <c r="A99" s="99" t="s">
        <v>31</v>
      </c>
      <c r="B99" s="43" t="s">
        <v>9</v>
      </c>
      <c r="C99" s="43" t="s">
        <v>12</v>
      </c>
      <c r="D99" s="43" t="s">
        <v>14</v>
      </c>
      <c r="E99" s="43" t="s">
        <v>152</v>
      </c>
      <c r="F99" s="43" t="s">
        <v>22</v>
      </c>
      <c r="G99" s="103">
        <v>213</v>
      </c>
      <c r="H99" s="22"/>
      <c r="I99" s="121">
        <v>0</v>
      </c>
      <c r="J99" s="122">
        <v>0</v>
      </c>
      <c r="K99" s="35">
        <f t="shared" ref="K99" si="53">I99-J99</f>
        <v>0</v>
      </c>
      <c r="L99" s="93"/>
      <c r="M99" s="188"/>
      <c r="N99" s="189"/>
      <c r="O99" s="25">
        <f t="shared" si="40"/>
        <v>0</v>
      </c>
      <c r="P99" s="26" t="e">
        <f t="shared" si="39"/>
        <v>#DIV/0!</v>
      </c>
      <c r="Q99" s="338"/>
      <c r="R99" s="339"/>
    </row>
    <row r="100" spans="1:50" s="2" customFormat="1" ht="62.25" customHeight="1" x14ac:dyDescent="0.25">
      <c r="A100" s="190" t="s">
        <v>58</v>
      </c>
      <c r="B100" s="41" t="s">
        <v>9</v>
      </c>
      <c r="C100" s="41" t="s">
        <v>12</v>
      </c>
      <c r="D100" s="41" t="s">
        <v>14</v>
      </c>
      <c r="E100" s="41" t="s">
        <v>59</v>
      </c>
      <c r="F100" s="41" t="s">
        <v>22</v>
      </c>
      <c r="G100" s="41"/>
      <c r="H100" s="41"/>
      <c r="I100" s="17">
        <f>I102+I101</f>
        <v>1881935.78</v>
      </c>
      <c r="J100" s="17">
        <f>J102+J101</f>
        <v>730159.93</v>
      </c>
      <c r="K100" s="17">
        <f>K102+K101</f>
        <v>1151775.8500000001</v>
      </c>
      <c r="L100" s="18"/>
      <c r="M100" s="195"/>
      <c r="N100" s="196"/>
      <c r="O100" s="20">
        <f t="shared" si="40"/>
        <v>0</v>
      </c>
      <c r="P100" s="21">
        <f t="shared" si="39"/>
        <v>38.798344649146323</v>
      </c>
      <c r="Q100" s="331"/>
      <c r="R100" s="33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28.5" customHeight="1" x14ac:dyDescent="0.25">
      <c r="A101" s="175" t="s">
        <v>167</v>
      </c>
      <c r="B101" s="22" t="s">
        <v>9</v>
      </c>
      <c r="C101" s="22" t="s">
        <v>12</v>
      </c>
      <c r="D101" s="22" t="s">
        <v>14</v>
      </c>
      <c r="E101" s="22" t="s">
        <v>59</v>
      </c>
      <c r="F101" s="22" t="s">
        <v>22</v>
      </c>
      <c r="G101" s="22" t="s">
        <v>146</v>
      </c>
      <c r="H101" s="22"/>
      <c r="I101" s="23">
        <v>249335.78</v>
      </c>
      <c r="J101" s="34">
        <v>78109.279999999999</v>
      </c>
      <c r="K101" s="34">
        <f>I101-J101</f>
        <v>171226.5</v>
      </c>
      <c r="L101" s="24"/>
      <c r="M101" s="182"/>
      <c r="N101" s="183"/>
      <c r="O101" s="25"/>
      <c r="P101" s="26"/>
      <c r="Q101" s="331"/>
      <c r="R101" s="331"/>
    </row>
    <row r="102" spans="1:50" ht="18.75" x14ac:dyDescent="0.25">
      <c r="A102" s="99" t="s">
        <v>113</v>
      </c>
      <c r="B102" s="22" t="s">
        <v>9</v>
      </c>
      <c r="C102" s="22" t="s">
        <v>12</v>
      </c>
      <c r="D102" s="22" t="s">
        <v>14</v>
      </c>
      <c r="E102" s="22" t="s">
        <v>59</v>
      </c>
      <c r="F102" s="22" t="s">
        <v>22</v>
      </c>
      <c r="G102" s="22" t="s">
        <v>114</v>
      </c>
      <c r="H102" s="22"/>
      <c r="I102" s="23">
        <v>1632600</v>
      </c>
      <c r="J102" s="34">
        <v>652050.65</v>
      </c>
      <c r="K102" s="34">
        <f>I102-J102</f>
        <v>980549.35</v>
      </c>
      <c r="L102" s="93" t="e">
        <f>#REF!</f>
        <v>#REF!</v>
      </c>
      <c r="M102" s="188"/>
      <c r="N102" s="189"/>
      <c r="O102" s="25">
        <f t="shared" si="40"/>
        <v>0</v>
      </c>
      <c r="P102" s="26">
        <f t="shared" si="39"/>
        <v>39.939400343011151</v>
      </c>
      <c r="Q102" s="331"/>
      <c r="R102" s="331"/>
    </row>
    <row r="103" spans="1:50" s="15" customFormat="1" ht="117.75" customHeight="1" x14ac:dyDescent="0.25">
      <c r="A103" s="190" t="s">
        <v>73</v>
      </c>
      <c r="B103" s="41" t="s">
        <v>9</v>
      </c>
      <c r="C103" s="41" t="s">
        <v>12</v>
      </c>
      <c r="D103" s="41" t="s">
        <v>12</v>
      </c>
      <c r="E103" s="41" t="s">
        <v>74</v>
      </c>
      <c r="F103" s="41"/>
      <c r="G103" s="41"/>
      <c r="H103" s="41"/>
      <c r="I103" s="17">
        <f>I105+I104</f>
        <v>383076</v>
      </c>
      <c r="J103" s="17">
        <f t="shared" ref="J103:K103" si="54">J105+J104</f>
        <v>383076</v>
      </c>
      <c r="K103" s="17">
        <f t="shared" si="54"/>
        <v>0</v>
      </c>
      <c r="L103" s="18" t="e">
        <f>L105</f>
        <v>#REF!</v>
      </c>
      <c r="M103" s="186"/>
      <c r="N103" s="187"/>
      <c r="O103" s="20">
        <f>I103-J103-K103</f>
        <v>0</v>
      </c>
      <c r="P103" s="21">
        <f>J103/I103*100</f>
        <v>100</v>
      </c>
      <c r="Q103" s="331"/>
      <c r="R103" s="331"/>
      <c r="Z103" s="1"/>
      <c r="AA103" s="1"/>
      <c r="AB103" s="1"/>
      <c r="AC103" s="1"/>
      <c r="AD103" s="1"/>
    </row>
    <row r="104" spans="1:50" s="15" customFormat="1" ht="18.75" x14ac:dyDescent="0.25">
      <c r="A104" s="99" t="s">
        <v>43</v>
      </c>
      <c r="B104" s="22" t="s">
        <v>9</v>
      </c>
      <c r="C104" s="22" t="s">
        <v>12</v>
      </c>
      <c r="D104" s="22" t="s">
        <v>12</v>
      </c>
      <c r="E104" s="22" t="s">
        <v>74</v>
      </c>
      <c r="F104" s="22" t="s">
        <v>22</v>
      </c>
      <c r="G104" s="22" t="s">
        <v>44</v>
      </c>
      <c r="H104" s="27"/>
      <c r="I104" s="23">
        <v>216000</v>
      </c>
      <c r="J104" s="23">
        <v>216000</v>
      </c>
      <c r="K104" s="34">
        <f>I104-J104</f>
        <v>0</v>
      </c>
      <c r="L104" s="24"/>
      <c r="M104" s="182"/>
      <c r="N104" s="183"/>
      <c r="O104" s="30">
        <f t="shared" si="40"/>
        <v>0</v>
      </c>
      <c r="P104" s="31">
        <f>J104/I104*100</f>
        <v>100</v>
      </c>
      <c r="Q104" s="338"/>
      <c r="R104" s="339"/>
      <c r="Z104" s="1"/>
      <c r="AA104" s="1"/>
      <c r="AB104" s="1"/>
      <c r="AC104" s="1"/>
      <c r="AD104" s="1"/>
    </row>
    <row r="105" spans="1:50" ht="18.75" x14ac:dyDescent="0.25">
      <c r="A105" s="99" t="s">
        <v>113</v>
      </c>
      <c r="B105" s="22" t="s">
        <v>9</v>
      </c>
      <c r="C105" s="22" t="s">
        <v>12</v>
      </c>
      <c r="D105" s="22" t="s">
        <v>12</v>
      </c>
      <c r="E105" s="22" t="s">
        <v>74</v>
      </c>
      <c r="F105" s="22" t="s">
        <v>22</v>
      </c>
      <c r="G105" s="22" t="s">
        <v>114</v>
      </c>
      <c r="H105" s="22"/>
      <c r="I105" s="23">
        <v>167076</v>
      </c>
      <c r="J105" s="23">
        <v>167076</v>
      </c>
      <c r="K105" s="34">
        <f>I105-J105</f>
        <v>0</v>
      </c>
      <c r="L105" s="24" t="e">
        <f>#REF!</f>
        <v>#REF!</v>
      </c>
      <c r="M105" s="182"/>
      <c r="N105" s="183"/>
      <c r="O105" s="25">
        <f t="shared" si="40"/>
        <v>0</v>
      </c>
      <c r="P105" s="26">
        <f>J105/I105*100</f>
        <v>100</v>
      </c>
      <c r="Q105" s="331"/>
      <c r="R105" s="331"/>
    </row>
    <row r="106" spans="1:50" s="2" customFormat="1" ht="19.5" customHeight="1" x14ac:dyDescent="0.3">
      <c r="A106" s="333" t="s">
        <v>60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5"/>
      <c r="Q106" s="340"/>
      <c r="R106" s="340"/>
    </row>
    <row r="107" spans="1:50" ht="78" x14ac:dyDescent="0.25">
      <c r="A107" s="51" t="s">
        <v>8</v>
      </c>
      <c r="B107" s="52" t="s">
        <v>9</v>
      </c>
      <c r="C107" s="52"/>
      <c r="D107" s="52"/>
      <c r="E107" s="52"/>
      <c r="F107" s="52"/>
      <c r="G107" s="52"/>
      <c r="H107" s="52"/>
      <c r="I107" s="53">
        <f>I108+I122+I129+I134+I132+I139+I143+I146+I141</f>
        <v>781959.98</v>
      </c>
      <c r="J107" s="53">
        <f>J108+J122+J129+J134+J132+J146+J139+J143+J141</f>
        <v>348449.33</v>
      </c>
      <c r="K107" s="53">
        <f>K108+K122+K129+K134+K132+K139+K143+K146+K141</f>
        <v>433510.65</v>
      </c>
      <c r="L107" s="53" t="e">
        <f t="shared" ref="L107:N107" si="55">L108+L122</f>
        <v>#REF!</v>
      </c>
      <c r="M107" s="53" t="e">
        <f t="shared" si="55"/>
        <v>#REF!</v>
      </c>
      <c r="N107" s="53" t="e">
        <f t="shared" si="55"/>
        <v>#REF!</v>
      </c>
      <c r="O107" s="53">
        <f>I107-J107-K107</f>
        <v>0</v>
      </c>
      <c r="P107" s="54">
        <f t="shared" ref="P107:P122" si="56">J107/I107*100</f>
        <v>44.561018327306215</v>
      </c>
      <c r="Q107" s="331"/>
      <c r="R107" s="331"/>
    </row>
    <row r="108" spans="1:50" ht="19.5" x14ac:dyDescent="0.25">
      <c r="A108" s="173" t="s">
        <v>11</v>
      </c>
      <c r="B108" s="8" t="s">
        <v>9</v>
      </c>
      <c r="C108" s="8" t="s">
        <v>12</v>
      </c>
      <c r="D108" s="8"/>
      <c r="E108" s="8"/>
      <c r="F108" s="8"/>
      <c r="G108" s="8"/>
      <c r="H108" s="8"/>
      <c r="I108" s="9">
        <f>I109+I113+I116+I119+I111+I148</f>
        <v>537217.12</v>
      </c>
      <c r="J108" s="9">
        <f>J109+J113+J116+J119+J111+J148</f>
        <v>229793.26</v>
      </c>
      <c r="K108" s="9">
        <f>K109+K113+K116+K119+K111+K148</f>
        <v>307423.86</v>
      </c>
      <c r="L108" s="10" t="e">
        <f>L109+#REF!</f>
        <v>#REF!</v>
      </c>
      <c r="M108" s="197"/>
      <c r="N108" s="198"/>
      <c r="O108" s="11">
        <f>I108-J108-K108</f>
        <v>0</v>
      </c>
      <c r="P108" s="12">
        <f t="shared" si="56"/>
        <v>42.774746270185879</v>
      </c>
      <c r="Q108" s="331"/>
      <c r="R108" s="331"/>
    </row>
    <row r="109" spans="1:50" ht="120.75" customHeight="1" x14ac:dyDescent="0.25">
      <c r="A109" s="190" t="s">
        <v>61</v>
      </c>
      <c r="B109" s="41" t="s">
        <v>9</v>
      </c>
      <c r="C109" s="41" t="s">
        <v>12</v>
      </c>
      <c r="D109" s="41" t="s">
        <v>14</v>
      </c>
      <c r="E109" s="41" t="s">
        <v>62</v>
      </c>
      <c r="F109" s="41"/>
      <c r="G109" s="41"/>
      <c r="H109" s="41"/>
      <c r="I109" s="17">
        <f>I110</f>
        <v>13261.15</v>
      </c>
      <c r="J109" s="17">
        <f t="shared" ref="J109:L111" si="57">J110</f>
        <v>8890.15</v>
      </c>
      <c r="K109" s="17">
        <f t="shared" si="57"/>
        <v>4371</v>
      </c>
      <c r="L109" s="18" t="e">
        <f t="shared" si="57"/>
        <v>#REF!</v>
      </c>
      <c r="M109" s="186"/>
      <c r="N109" s="187"/>
      <c r="O109" s="20">
        <f>I109-J109-K109</f>
        <v>0</v>
      </c>
      <c r="P109" s="21">
        <f t="shared" si="56"/>
        <v>67.039057698615878</v>
      </c>
      <c r="Q109" s="331"/>
      <c r="R109" s="331"/>
      <c r="S109" s="15"/>
    </row>
    <row r="110" spans="1:50" ht="23.25" customHeight="1" x14ac:dyDescent="0.25">
      <c r="A110" s="99" t="s">
        <v>113</v>
      </c>
      <c r="B110" s="22" t="s">
        <v>9</v>
      </c>
      <c r="C110" s="22" t="s">
        <v>12</v>
      </c>
      <c r="D110" s="22" t="s">
        <v>14</v>
      </c>
      <c r="E110" s="43" t="s">
        <v>62</v>
      </c>
      <c r="F110" s="22" t="s">
        <v>63</v>
      </c>
      <c r="G110" s="22" t="s">
        <v>114</v>
      </c>
      <c r="H110" s="22"/>
      <c r="I110" s="23">
        <v>13261.15</v>
      </c>
      <c r="J110" s="34">
        <v>8890.15</v>
      </c>
      <c r="K110" s="34">
        <f>I110-J110</f>
        <v>4371</v>
      </c>
      <c r="L110" s="24" t="e">
        <f>#REF!</f>
        <v>#REF!</v>
      </c>
      <c r="M110" s="184"/>
      <c r="N110" s="185"/>
      <c r="O110" s="25">
        <f>I110-K110-J110</f>
        <v>0</v>
      </c>
      <c r="P110" s="26">
        <f t="shared" si="56"/>
        <v>67.039057698615878</v>
      </c>
      <c r="Q110" s="331"/>
      <c r="R110" s="331"/>
      <c r="Z110" s="15"/>
      <c r="AA110" s="15"/>
      <c r="AB110" s="15"/>
      <c r="AC110" s="15"/>
      <c r="AD110" s="15"/>
    </row>
    <row r="111" spans="1:50" ht="106.5" customHeight="1" x14ac:dyDescent="0.25">
      <c r="A111" s="190" t="s">
        <v>141</v>
      </c>
      <c r="B111" s="41" t="s">
        <v>9</v>
      </c>
      <c r="C111" s="41" t="s">
        <v>12</v>
      </c>
      <c r="D111" s="41" t="s">
        <v>14</v>
      </c>
      <c r="E111" s="41" t="s">
        <v>136</v>
      </c>
      <c r="F111" s="41"/>
      <c r="G111" s="41"/>
      <c r="H111" s="41"/>
      <c r="I111" s="17">
        <f>I112</f>
        <v>355955.97</v>
      </c>
      <c r="J111" s="17">
        <f t="shared" si="57"/>
        <v>107903.11</v>
      </c>
      <c r="K111" s="17">
        <f t="shared" si="57"/>
        <v>248052.86</v>
      </c>
      <c r="L111" s="18" t="e">
        <f t="shared" si="57"/>
        <v>#REF!</v>
      </c>
      <c r="M111" s="186"/>
      <c r="N111" s="187"/>
      <c r="O111" s="20">
        <f>I111-J111-K111</f>
        <v>0</v>
      </c>
      <c r="P111" s="21">
        <f t="shared" si="56"/>
        <v>30.31361154021381</v>
      </c>
      <c r="Q111" s="331"/>
      <c r="R111" s="331"/>
      <c r="Z111" s="15"/>
      <c r="AA111" s="15"/>
      <c r="AB111" s="15"/>
      <c r="AC111" s="15"/>
      <c r="AD111" s="15"/>
    </row>
    <row r="112" spans="1:50" ht="23.25" customHeight="1" x14ac:dyDescent="0.25">
      <c r="A112" s="99" t="s">
        <v>113</v>
      </c>
      <c r="B112" s="22" t="s">
        <v>9</v>
      </c>
      <c r="C112" s="22" t="s">
        <v>12</v>
      </c>
      <c r="D112" s="22" t="s">
        <v>14</v>
      </c>
      <c r="E112" s="43" t="s">
        <v>136</v>
      </c>
      <c r="F112" s="22" t="s">
        <v>63</v>
      </c>
      <c r="G112" s="22" t="s">
        <v>114</v>
      </c>
      <c r="H112" s="22"/>
      <c r="I112" s="23">
        <v>355955.97</v>
      </c>
      <c r="J112" s="34">
        <v>107903.11</v>
      </c>
      <c r="K112" s="34">
        <f>I112-J112</f>
        <v>248052.86</v>
      </c>
      <c r="L112" s="24" t="e">
        <f>#REF!</f>
        <v>#REF!</v>
      </c>
      <c r="M112" s="184"/>
      <c r="N112" s="185"/>
      <c r="O112" s="25">
        <f>I112-K112-J112</f>
        <v>0</v>
      </c>
      <c r="P112" s="26">
        <f t="shared" si="56"/>
        <v>30.31361154021381</v>
      </c>
      <c r="Q112" s="331"/>
      <c r="R112" s="331"/>
      <c r="Z112" s="15"/>
      <c r="AA112" s="15"/>
      <c r="AB112" s="15"/>
      <c r="AC112" s="15"/>
      <c r="AD112" s="15"/>
    </row>
    <row r="113" spans="1:50" s="2" customFormat="1" ht="80.25" customHeight="1" x14ac:dyDescent="0.25">
      <c r="A113" s="190" t="s">
        <v>117</v>
      </c>
      <c r="B113" s="41" t="s">
        <v>9</v>
      </c>
      <c r="C113" s="41" t="s">
        <v>12</v>
      </c>
      <c r="D113" s="41" t="s">
        <v>12</v>
      </c>
      <c r="E113" s="41" t="s">
        <v>90</v>
      </c>
      <c r="F113" s="41"/>
      <c r="G113" s="16"/>
      <c r="H113" s="16"/>
      <c r="I113" s="17">
        <f>I114+I115</f>
        <v>65000</v>
      </c>
      <c r="J113" s="17">
        <f t="shared" ref="J113:K113" si="58">J114+J115</f>
        <v>25000</v>
      </c>
      <c r="K113" s="17">
        <f t="shared" si="58"/>
        <v>40000</v>
      </c>
      <c r="L113" s="69"/>
      <c r="M113" s="186"/>
      <c r="N113" s="187"/>
      <c r="O113" s="20">
        <v>0</v>
      </c>
      <c r="P113" s="21">
        <f t="shared" si="56"/>
        <v>38.461538461538467</v>
      </c>
      <c r="Q113" s="331"/>
      <c r="R113" s="331"/>
      <c r="S113" s="1"/>
      <c r="T113" s="15"/>
      <c r="U113" s="15"/>
      <c r="V113" s="15"/>
      <c r="W113" s="15"/>
      <c r="X113" s="15"/>
      <c r="Y113" s="1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s="2" customFormat="1" ht="39.75" customHeight="1" x14ac:dyDescent="0.25">
      <c r="A114" s="175" t="s">
        <v>109</v>
      </c>
      <c r="B114" s="22" t="s">
        <v>9</v>
      </c>
      <c r="C114" s="22" t="s">
        <v>12</v>
      </c>
      <c r="D114" s="22" t="s">
        <v>12</v>
      </c>
      <c r="E114" s="43" t="s">
        <v>90</v>
      </c>
      <c r="F114" s="22" t="s">
        <v>63</v>
      </c>
      <c r="G114" s="22" t="s">
        <v>104</v>
      </c>
      <c r="H114" s="22"/>
      <c r="I114" s="23">
        <v>22000</v>
      </c>
      <c r="J114" s="34">
        <v>17000</v>
      </c>
      <c r="K114" s="35">
        <f>I114-J114</f>
        <v>5000</v>
      </c>
      <c r="L114" s="57"/>
      <c r="M114" s="188"/>
      <c r="N114" s="189"/>
      <c r="O114" s="25">
        <f>O115</f>
        <v>0</v>
      </c>
      <c r="P114" s="26">
        <f t="shared" si="56"/>
        <v>77.272727272727266</v>
      </c>
      <c r="Q114" s="331"/>
      <c r="R114" s="331"/>
      <c r="S114" s="1"/>
      <c r="T114" s="15"/>
      <c r="U114" s="15"/>
      <c r="V114" s="15"/>
      <c r="W114" s="15"/>
      <c r="X114" s="15"/>
      <c r="Y114" s="1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2" customFormat="1" ht="40.5" customHeight="1" x14ac:dyDescent="0.25">
      <c r="A115" s="175" t="s">
        <v>110</v>
      </c>
      <c r="B115" s="22" t="s">
        <v>9</v>
      </c>
      <c r="C115" s="22" t="s">
        <v>12</v>
      </c>
      <c r="D115" s="22" t="s">
        <v>12</v>
      </c>
      <c r="E115" s="43" t="s">
        <v>90</v>
      </c>
      <c r="F115" s="22" t="s">
        <v>63</v>
      </c>
      <c r="G115" s="22" t="s">
        <v>105</v>
      </c>
      <c r="H115" s="22"/>
      <c r="I115" s="23">
        <v>43000</v>
      </c>
      <c r="J115" s="34">
        <v>8000</v>
      </c>
      <c r="K115" s="35">
        <f>I115-J115</f>
        <v>35000</v>
      </c>
      <c r="L115" s="49"/>
      <c r="M115" s="188"/>
      <c r="N115" s="189"/>
      <c r="O115" s="25">
        <f>I115-J115-K115</f>
        <v>0</v>
      </c>
      <c r="P115" s="26">
        <f t="shared" si="56"/>
        <v>18.604651162790699</v>
      </c>
      <c r="Q115" s="331"/>
      <c r="R115" s="331"/>
      <c r="S115" s="1"/>
      <c r="T115" s="15"/>
      <c r="U115" s="15"/>
      <c r="V115" s="15"/>
      <c r="W115" s="15"/>
      <c r="X115" s="15"/>
      <c r="Y115" s="1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2" customFormat="1" ht="91.5" customHeight="1" x14ac:dyDescent="0.25">
      <c r="A116" s="190" t="s">
        <v>118</v>
      </c>
      <c r="B116" s="41" t="s">
        <v>9</v>
      </c>
      <c r="C116" s="41" t="s">
        <v>12</v>
      </c>
      <c r="D116" s="41" t="s">
        <v>12</v>
      </c>
      <c r="E116" s="16" t="s">
        <v>115</v>
      </c>
      <c r="F116" s="41"/>
      <c r="G116" s="16"/>
      <c r="H116" s="16"/>
      <c r="I116" s="17">
        <f>I117+I118</f>
        <v>13000</v>
      </c>
      <c r="J116" s="17">
        <f t="shared" ref="J116:K116" si="59">J117+J118</f>
        <v>8000</v>
      </c>
      <c r="K116" s="17">
        <f t="shared" si="59"/>
        <v>5000</v>
      </c>
      <c r="L116" s="69"/>
      <c r="M116" s="186"/>
      <c r="N116" s="187"/>
      <c r="O116" s="20">
        <v>0</v>
      </c>
      <c r="P116" s="21">
        <f t="shared" si="56"/>
        <v>61.53846153846154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39.75" customHeight="1" x14ac:dyDescent="0.25">
      <c r="A117" s="175" t="s">
        <v>109</v>
      </c>
      <c r="B117" s="22" t="s">
        <v>9</v>
      </c>
      <c r="C117" s="22" t="s">
        <v>12</v>
      </c>
      <c r="D117" s="22" t="s">
        <v>12</v>
      </c>
      <c r="E117" s="43" t="s">
        <v>115</v>
      </c>
      <c r="F117" s="22" t="s">
        <v>63</v>
      </c>
      <c r="G117" s="22" t="s">
        <v>104</v>
      </c>
      <c r="H117" s="22"/>
      <c r="I117" s="23">
        <v>7000</v>
      </c>
      <c r="J117" s="34">
        <v>2000</v>
      </c>
      <c r="K117" s="35">
        <f>I117-J117</f>
        <v>5000</v>
      </c>
      <c r="L117" s="57"/>
      <c r="M117" s="188"/>
      <c r="N117" s="189"/>
      <c r="O117" s="25">
        <f>O118</f>
        <v>0</v>
      </c>
      <c r="P117" s="26">
        <f t="shared" si="56"/>
        <v>28.571428571428569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40.5" customHeight="1" x14ac:dyDescent="0.25">
      <c r="A118" s="175" t="s">
        <v>110</v>
      </c>
      <c r="B118" s="22" t="s">
        <v>9</v>
      </c>
      <c r="C118" s="22" t="s">
        <v>12</v>
      </c>
      <c r="D118" s="22" t="s">
        <v>12</v>
      </c>
      <c r="E118" s="43" t="s">
        <v>115</v>
      </c>
      <c r="F118" s="22" t="s">
        <v>63</v>
      </c>
      <c r="G118" s="22" t="s">
        <v>105</v>
      </c>
      <c r="H118" s="22"/>
      <c r="I118" s="23">
        <v>6000</v>
      </c>
      <c r="J118" s="34">
        <v>6000</v>
      </c>
      <c r="K118" s="35">
        <f>I118-J118</f>
        <v>0</v>
      </c>
      <c r="L118" s="49"/>
      <c r="M118" s="188"/>
      <c r="N118" s="189"/>
      <c r="O118" s="25">
        <f>I118-J118-K118</f>
        <v>0</v>
      </c>
      <c r="P118" s="26">
        <f t="shared" si="56"/>
        <v>100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88.5" customHeight="1" x14ac:dyDescent="0.25">
      <c r="A119" s="190" t="s">
        <v>119</v>
      </c>
      <c r="B119" s="41" t="s">
        <v>9</v>
      </c>
      <c r="C119" s="41" t="s">
        <v>12</v>
      </c>
      <c r="D119" s="41" t="s">
        <v>85</v>
      </c>
      <c r="E119" s="16" t="s">
        <v>116</v>
      </c>
      <c r="F119" s="41"/>
      <c r="G119" s="16"/>
      <c r="H119" s="16"/>
      <c r="I119" s="17">
        <f>I120+I121</f>
        <v>27000</v>
      </c>
      <c r="J119" s="17">
        <f t="shared" ref="J119:K119" si="60">J120+J121</f>
        <v>17000</v>
      </c>
      <c r="K119" s="17">
        <f t="shared" si="60"/>
        <v>10000</v>
      </c>
      <c r="L119" s="69"/>
      <c r="M119" s="186"/>
      <c r="N119" s="187"/>
      <c r="O119" s="20">
        <v>0</v>
      </c>
      <c r="P119" s="21">
        <f t="shared" si="56"/>
        <v>62.962962962962962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39.75" customHeight="1" x14ac:dyDescent="0.25">
      <c r="A120" s="175" t="s">
        <v>109</v>
      </c>
      <c r="B120" s="22" t="s">
        <v>9</v>
      </c>
      <c r="C120" s="22" t="s">
        <v>12</v>
      </c>
      <c r="D120" s="22" t="s">
        <v>85</v>
      </c>
      <c r="E120" s="43" t="s">
        <v>116</v>
      </c>
      <c r="F120" s="22" t="s">
        <v>63</v>
      </c>
      <c r="G120" s="22" t="s">
        <v>104</v>
      </c>
      <c r="H120" s="22"/>
      <c r="I120" s="23">
        <v>7000</v>
      </c>
      <c r="J120" s="34">
        <v>3000</v>
      </c>
      <c r="K120" s="35">
        <f>I120-J120</f>
        <v>4000</v>
      </c>
      <c r="L120" s="57"/>
      <c r="M120" s="188"/>
      <c r="N120" s="189"/>
      <c r="O120" s="25">
        <f>O121</f>
        <v>0</v>
      </c>
      <c r="P120" s="26">
        <f t="shared" si="56"/>
        <v>42.857142857142854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40.5" customHeight="1" x14ac:dyDescent="0.25">
      <c r="A121" s="175" t="s">
        <v>110</v>
      </c>
      <c r="B121" s="22" t="s">
        <v>9</v>
      </c>
      <c r="C121" s="22" t="s">
        <v>12</v>
      </c>
      <c r="D121" s="22" t="s">
        <v>85</v>
      </c>
      <c r="E121" s="43" t="s">
        <v>116</v>
      </c>
      <c r="F121" s="22" t="s">
        <v>63</v>
      </c>
      <c r="G121" s="22" t="s">
        <v>105</v>
      </c>
      <c r="H121" s="22"/>
      <c r="I121" s="23">
        <v>20000</v>
      </c>
      <c r="J121" s="34">
        <v>14000</v>
      </c>
      <c r="K121" s="35">
        <f>I121-J121</f>
        <v>6000</v>
      </c>
      <c r="L121" s="49"/>
      <c r="M121" s="188"/>
      <c r="N121" s="189"/>
      <c r="O121" s="25">
        <f>I121-J121-K121</f>
        <v>0</v>
      </c>
      <c r="P121" s="26">
        <f t="shared" si="56"/>
        <v>70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59.25" customHeight="1" x14ac:dyDescent="0.25">
      <c r="A122" s="86" t="s">
        <v>67</v>
      </c>
      <c r="B122" s="41" t="s">
        <v>9</v>
      </c>
      <c r="C122" s="41" t="s">
        <v>68</v>
      </c>
      <c r="D122" s="41" t="s">
        <v>69</v>
      </c>
      <c r="E122" s="41" t="s">
        <v>70</v>
      </c>
      <c r="F122" s="41"/>
      <c r="G122" s="41"/>
      <c r="H122" s="41"/>
      <c r="I122" s="17">
        <f>I123+I125+I127+I128+I124+I126</f>
        <v>65000</v>
      </c>
      <c r="J122" s="17">
        <f>J123+J125+J127+J128+J124+J126</f>
        <v>40352</v>
      </c>
      <c r="K122" s="17">
        <f>K123+K125+K127+K128+K124+K126</f>
        <v>24648</v>
      </c>
      <c r="L122" s="17" t="e">
        <f>L123+#REF!+#REF!</f>
        <v>#REF!</v>
      </c>
      <c r="M122" s="17" t="e">
        <f>M123+#REF!+#REF!</f>
        <v>#REF!</v>
      </c>
      <c r="N122" s="17" t="e">
        <f>N123+#REF!+#REF!</f>
        <v>#REF!</v>
      </c>
      <c r="O122" s="89">
        <f>I122-J122-K122</f>
        <v>0</v>
      </c>
      <c r="P122" s="21">
        <f t="shared" si="56"/>
        <v>62.08</v>
      </c>
      <c r="Q122" s="331"/>
      <c r="R122" s="33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18.75" x14ac:dyDescent="0.25">
      <c r="A123" s="175" t="s">
        <v>43</v>
      </c>
      <c r="B123" s="22" t="s">
        <v>9</v>
      </c>
      <c r="C123" s="22" t="s">
        <v>68</v>
      </c>
      <c r="D123" s="22" t="s">
        <v>69</v>
      </c>
      <c r="E123" s="22" t="s">
        <v>70</v>
      </c>
      <c r="F123" s="22" t="s">
        <v>63</v>
      </c>
      <c r="G123" s="22" t="s">
        <v>44</v>
      </c>
      <c r="H123" s="22"/>
      <c r="I123" s="23">
        <v>32600</v>
      </c>
      <c r="J123" s="23">
        <v>32000</v>
      </c>
      <c r="K123" s="23">
        <f>I123-J123</f>
        <v>600</v>
      </c>
      <c r="L123" s="93"/>
      <c r="M123" s="188"/>
      <c r="N123" s="189"/>
      <c r="O123" s="25">
        <f>I123-J123-K123</f>
        <v>0</v>
      </c>
      <c r="P123" s="26">
        <f>J123/I123*100</f>
        <v>98.159509202453989</v>
      </c>
      <c r="Q123" s="331"/>
      <c r="R123" s="331"/>
      <c r="S123" s="15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18.75" x14ac:dyDescent="0.25">
      <c r="A124" s="175" t="s">
        <v>123</v>
      </c>
      <c r="B124" s="22" t="s">
        <v>9</v>
      </c>
      <c r="C124" s="22" t="s">
        <v>68</v>
      </c>
      <c r="D124" s="22" t="s">
        <v>69</v>
      </c>
      <c r="E124" s="22" t="s">
        <v>70</v>
      </c>
      <c r="F124" s="22" t="s">
        <v>63</v>
      </c>
      <c r="G124" s="22" t="s">
        <v>124</v>
      </c>
      <c r="H124" s="22"/>
      <c r="I124" s="23">
        <v>7500</v>
      </c>
      <c r="J124" s="34">
        <v>600</v>
      </c>
      <c r="K124" s="23">
        <f t="shared" ref="K124:K128" si="61">I124-J124</f>
        <v>6900</v>
      </c>
      <c r="L124" s="93"/>
      <c r="M124" s="188"/>
      <c r="N124" s="189"/>
      <c r="O124" s="25">
        <f t="shared" ref="O124:O136" si="62">I124-J124-K124</f>
        <v>0</v>
      </c>
      <c r="P124" s="26">
        <f>J124/I124*100</f>
        <v>8</v>
      </c>
      <c r="Q124" s="338"/>
      <c r="R124" s="339"/>
      <c r="S124" s="15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37.5" x14ac:dyDescent="0.25">
      <c r="A125" s="175" t="s">
        <v>106</v>
      </c>
      <c r="B125" s="22" t="s">
        <v>9</v>
      </c>
      <c r="C125" s="22" t="s">
        <v>68</v>
      </c>
      <c r="D125" s="22" t="s">
        <v>69</v>
      </c>
      <c r="E125" s="22" t="s">
        <v>70</v>
      </c>
      <c r="F125" s="22" t="s">
        <v>63</v>
      </c>
      <c r="G125" s="22" t="s">
        <v>101</v>
      </c>
      <c r="H125" s="22"/>
      <c r="I125" s="23">
        <v>2500</v>
      </c>
      <c r="J125" s="34">
        <v>0</v>
      </c>
      <c r="K125" s="23">
        <f t="shared" si="61"/>
        <v>2500</v>
      </c>
      <c r="L125" s="93"/>
      <c r="M125" s="188"/>
      <c r="N125" s="189"/>
      <c r="O125" s="25">
        <f t="shared" si="62"/>
        <v>0</v>
      </c>
      <c r="P125" s="26">
        <v>0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18.75" x14ac:dyDescent="0.25">
      <c r="A126" s="175" t="s">
        <v>108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103</v>
      </c>
      <c r="H126" s="22"/>
      <c r="I126" s="23">
        <v>0</v>
      </c>
      <c r="J126" s="34">
        <v>0</v>
      </c>
      <c r="K126" s="23">
        <f t="shared" si="61"/>
        <v>0</v>
      </c>
      <c r="L126" s="93"/>
      <c r="M126" s="188"/>
      <c r="N126" s="189"/>
      <c r="O126" s="25">
        <f t="shared" si="62"/>
        <v>0</v>
      </c>
      <c r="P126" s="26"/>
      <c r="Q126" s="241"/>
      <c r="R126" s="24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37.5" customHeight="1" x14ac:dyDescent="0.25">
      <c r="A127" s="175" t="s">
        <v>109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104</v>
      </c>
      <c r="H127" s="22"/>
      <c r="I127" s="23">
        <v>12400</v>
      </c>
      <c r="J127" s="34">
        <v>0</v>
      </c>
      <c r="K127" s="23">
        <f t="shared" si="61"/>
        <v>12400</v>
      </c>
      <c r="L127" s="93"/>
      <c r="M127" s="188"/>
      <c r="N127" s="189"/>
      <c r="O127" s="25">
        <f t="shared" si="62"/>
        <v>0</v>
      </c>
      <c r="P127" s="26">
        <v>0</v>
      </c>
      <c r="Q127" s="331"/>
      <c r="R127" s="33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37.5" x14ac:dyDescent="0.25">
      <c r="A128" s="175" t="s">
        <v>110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105</v>
      </c>
      <c r="H128" s="22"/>
      <c r="I128" s="23">
        <v>10000</v>
      </c>
      <c r="J128" s="34">
        <v>7752</v>
      </c>
      <c r="K128" s="23">
        <f t="shared" si="61"/>
        <v>2248</v>
      </c>
      <c r="L128" s="93"/>
      <c r="M128" s="188"/>
      <c r="N128" s="189"/>
      <c r="O128" s="25">
        <f t="shared" si="62"/>
        <v>0</v>
      </c>
      <c r="P128" s="26">
        <f t="shared" ref="P128:P149" si="63">J128/I128*100</f>
        <v>77.52</v>
      </c>
      <c r="Q128" s="331"/>
      <c r="R128" s="3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82.5" hidden="1" customHeight="1" x14ac:dyDescent="0.25">
      <c r="A129" s="190" t="s">
        <v>125</v>
      </c>
      <c r="B129" s="41" t="s">
        <v>9</v>
      </c>
      <c r="C129" s="41" t="s">
        <v>12</v>
      </c>
      <c r="D129" s="41" t="s">
        <v>12</v>
      </c>
      <c r="E129" s="41" t="s">
        <v>126</v>
      </c>
      <c r="F129" s="41"/>
      <c r="G129" s="16"/>
      <c r="H129" s="16"/>
      <c r="I129" s="17">
        <f>I130+I131</f>
        <v>0</v>
      </c>
      <c r="J129" s="17">
        <f t="shared" ref="J129:K129" si="64">J130+J131</f>
        <v>0</v>
      </c>
      <c r="K129" s="17">
        <f t="shared" si="64"/>
        <v>0</v>
      </c>
      <c r="L129" s="69"/>
      <c r="M129" s="186"/>
      <c r="N129" s="187"/>
      <c r="O129" s="20">
        <f t="shared" si="62"/>
        <v>0</v>
      </c>
      <c r="P129" s="21" t="e">
        <f t="shared" si="63"/>
        <v>#DIV/0!</v>
      </c>
      <c r="Q129" s="321"/>
      <c r="R129" s="32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18.75" hidden="1" x14ac:dyDescent="0.25">
      <c r="A130" s="175" t="s">
        <v>27</v>
      </c>
      <c r="B130" s="22" t="s">
        <v>9</v>
      </c>
      <c r="C130" s="22" t="s">
        <v>12</v>
      </c>
      <c r="D130" s="22" t="s">
        <v>12</v>
      </c>
      <c r="E130" s="43" t="s">
        <v>126</v>
      </c>
      <c r="F130" s="22" t="s">
        <v>63</v>
      </c>
      <c r="G130" s="22" t="s">
        <v>28</v>
      </c>
      <c r="H130" s="22"/>
      <c r="I130" s="121">
        <v>0</v>
      </c>
      <c r="J130" s="122">
        <v>0</v>
      </c>
      <c r="K130" s="35">
        <f>I130-J130</f>
        <v>0</v>
      </c>
      <c r="L130" s="57"/>
      <c r="M130" s="188"/>
      <c r="N130" s="189"/>
      <c r="O130" s="25">
        <f t="shared" si="62"/>
        <v>0</v>
      </c>
      <c r="P130" s="26" t="e">
        <f t="shared" si="63"/>
        <v>#DIV/0!</v>
      </c>
      <c r="Q130" s="325"/>
      <c r="R130" s="326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18.75" hidden="1" x14ac:dyDescent="0.25">
      <c r="A131" s="99" t="s">
        <v>31</v>
      </c>
      <c r="B131" s="22" t="s">
        <v>9</v>
      </c>
      <c r="C131" s="22" t="s">
        <v>12</v>
      </c>
      <c r="D131" s="22" t="s">
        <v>12</v>
      </c>
      <c r="E131" s="43" t="s">
        <v>126</v>
      </c>
      <c r="F131" s="22" t="s">
        <v>63</v>
      </c>
      <c r="G131" s="22" t="s">
        <v>32</v>
      </c>
      <c r="H131" s="22"/>
      <c r="I131" s="121">
        <v>0</v>
      </c>
      <c r="J131" s="122">
        <v>0</v>
      </c>
      <c r="K131" s="35">
        <f>I131-J131</f>
        <v>0</v>
      </c>
      <c r="L131" s="49"/>
      <c r="M131" s="188"/>
      <c r="N131" s="189"/>
      <c r="O131" s="25">
        <f t="shared" si="62"/>
        <v>0</v>
      </c>
      <c r="P131" s="26" t="e">
        <f t="shared" si="63"/>
        <v>#DIV/0!</v>
      </c>
      <c r="Q131" s="323"/>
      <c r="R131" s="3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65.25" customHeight="1" x14ac:dyDescent="0.25">
      <c r="A132" s="199" t="s">
        <v>142</v>
      </c>
      <c r="B132" s="104" t="s">
        <v>9</v>
      </c>
      <c r="C132" s="104" t="s">
        <v>68</v>
      </c>
      <c r="D132" s="104" t="s">
        <v>14</v>
      </c>
      <c r="E132" s="104" t="s">
        <v>137</v>
      </c>
      <c r="F132" s="104"/>
      <c r="G132" s="105"/>
      <c r="H132" s="105"/>
      <c r="I132" s="17">
        <f>I133</f>
        <v>40000</v>
      </c>
      <c r="J132" s="17">
        <f t="shared" ref="J132:K132" si="65">J133</f>
        <v>0</v>
      </c>
      <c r="K132" s="17">
        <f t="shared" si="65"/>
        <v>40000</v>
      </c>
      <c r="L132" s="115"/>
      <c r="M132" s="195"/>
      <c r="N132" s="196"/>
      <c r="O132" s="20">
        <f>I132-J132-K132</f>
        <v>0</v>
      </c>
      <c r="P132" s="21">
        <f t="shared" si="63"/>
        <v>0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49.5" customHeight="1" x14ac:dyDescent="0.25">
      <c r="A133" s="175" t="s">
        <v>109</v>
      </c>
      <c r="B133" s="112" t="s">
        <v>9</v>
      </c>
      <c r="C133" s="112" t="s">
        <v>68</v>
      </c>
      <c r="D133" s="112" t="s">
        <v>14</v>
      </c>
      <c r="E133" s="113" t="s">
        <v>137</v>
      </c>
      <c r="F133" s="112" t="s">
        <v>63</v>
      </c>
      <c r="G133" s="112" t="s">
        <v>104</v>
      </c>
      <c r="H133" s="112"/>
      <c r="I133" s="23">
        <v>40000</v>
      </c>
      <c r="J133" s="34">
        <v>0</v>
      </c>
      <c r="K133" s="35">
        <f t="shared" ref="K133:K135" si="66">I133-J133</f>
        <v>40000</v>
      </c>
      <c r="L133" s="114"/>
      <c r="M133" s="188"/>
      <c r="N133" s="189"/>
      <c r="O133" s="25">
        <f t="shared" si="62"/>
        <v>0</v>
      </c>
      <c r="P133" s="26">
        <f t="shared" si="63"/>
        <v>0</v>
      </c>
      <c r="Q133" s="323"/>
      <c r="R133" s="3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60" hidden="1" customHeight="1" x14ac:dyDescent="0.25">
      <c r="A134" s="199" t="s">
        <v>143</v>
      </c>
      <c r="B134" s="104" t="s">
        <v>9</v>
      </c>
      <c r="C134" s="104" t="s">
        <v>12</v>
      </c>
      <c r="D134" s="104" t="s">
        <v>14</v>
      </c>
      <c r="E134" s="104" t="s">
        <v>138</v>
      </c>
      <c r="F134" s="104"/>
      <c r="G134" s="104"/>
      <c r="H134" s="104"/>
      <c r="I134" s="106">
        <f>I135</f>
        <v>0</v>
      </c>
      <c r="J134" s="106">
        <f t="shared" ref="J134:K134" si="67">J135</f>
        <v>0</v>
      </c>
      <c r="K134" s="106">
        <f t="shared" si="67"/>
        <v>0</v>
      </c>
      <c r="L134" s="115"/>
      <c r="M134" s="195"/>
      <c r="N134" s="196"/>
      <c r="O134" s="20">
        <f>I134-J134-K134</f>
        <v>0</v>
      </c>
      <c r="P134" s="21" t="e">
        <f t="shared" si="63"/>
        <v>#DIV/0!</v>
      </c>
      <c r="Q134" s="321"/>
      <c r="R134" s="32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27.75" hidden="1" customHeight="1" x14ac:dyDescent="0.25">
      <c r="A135" s="99" t="s">
        <v>47</v>
      </c>
      <c r="B135" s="112" t="s">
        <v>9</v>
      </c>
      <c r="C135" s="112" t="s">
        <v>12</v>
      </c>
      <c r="D135" s="112" t="s">
        <v>14</v>
      </c>
      <c r="E135" s="113" t="s">
        <v>138</v>
      </c>
      <c r="F135" s="112" t="s">
        <v>63</v>
      </c>
      <c r="G135" s="112" t="s">
        <v>48</v>
      </c>
      <c r="H135" s="112"/>
      <c r="I135" s="118">
        <v>0</v>
      </c>
      <c r="J135" s="158">
        <v>0</v>
      </c>
      <c r="K135" s="118">
        <f t="shared" si="66"/>
        <v>0</v>
      </c>
      <c r="L135" s="114"/>
      <c r="M135" s="188"/>
      <c r="N135" s="189"/>
      <c r="O135" s="119">
        <f t="shared" si="62"/>
        <v>0</v>
      </c>
      <c r="P135" s="120" t="e">
        <f t="shared" si="63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82.5" hidden="1" customHeight="1" x14ac:dyDescent="0.25">
      <c r="A136" s="190" t="s">
        <v>127</v>
      </c>
      <c r="B136" s="104" t="s">
        <v>9</v>
      </c>
      <c r="C136" s="104" t="s">
        <v>12</v>
      </c>
      <c r="D136" s="104" t="s">
        <v>85</v>
      </c>
      <c r="E136" s="104" t="s">
        <v>86</v>
      </c>
      <c r="F136" s="104"/>
      <c r="G136" s="105"/>
      <c r="H136" s="105"/>
      <c r="I136" s="106">
        <f>I137+I138</f>
        <v>0</v>
      </c>
      <c r="J136" s="106">
        <f>J137+J138</f>
        <v>0</v>
      </c>
      <c r="K136" s="106">
        <f>K137+K138</f>
        <v>0</v>
      </c>
      <c r="L136" s="106">
        <f t="shared" ref="L136:N136" si="68">L137</f>
        <v>0</v>
      </c>
      <c r="M136" s="106">
        <f t="shared" si="68"/>
        <v>0</v>
      </c>
      <c r="N136" s="106">
        <f t="shared" si="68"/>
        <v>0</v>
      </c>
      <c r="O136" s="107">
        <f t="shared" si="62"/>
        <v>0</v>
      </c>
      <c r="P136" s="108" t="e">
        <f t="shared" si="63"/>
        <v>#DIV/0!</v>
      </c>
      <c r="Q136" s="321"/>
      <c r="R136" s="32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18.75" hidden="1" x14ac:dyDescent="0.25">
      <c r="A137" s="175" t="s">
        <v>41</v>
      </c>
      <c r="B137" s="22" t="s">
        <v>9</v>
      </c>
      <c r="C137" s="22" t="s">
        <v>12</v>
      </c>
      <c r="D137" s="22" t="s">
        <v>85</v>
      </c>
      <c r="E137" s="22" t="s">
        <v>86</v>
      </c>
      <c r="F137" s="22" t="s">
        <v>63</v>
      </c>
      <c r="G137" s="22" t="s">
        <v>42</v>
      </c>
      <c r="H137" s="22"/>
      <c r="I137" s="121"/>
      <c r="J137" s="121"/>
      <c r="K137" s="23">
        <f>I137-J137</f>
        <v>0</v>
      </c>
      <c r="L137" s="109"/>
      <c r="M137" s="110"/>
      <c r="N137" s="111"/>
      <c r="O137" s="25">
        <f>I137-J137-K137</f>
        <v>0</v>
      </c>
      <c r="P137" s="26" t="e">
        <f t="shared" si="63"/>
        <v>#DIV/0!</v>
      </c>
      <c r="Q137" s="323"/>
      <c r="R137" s="3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18.75" hidden="1" x14ac:dyDescent="0.25">
      <c r="A138" s="99" t="s">
        <v>47</v>
      </c>
      <c r="B138" s="22" t="s">
        <v>9</v>
      </c>
      <c r="C138" s="22" t="s">
        <v>12</v>
      </c>
      <c r="D138" s="22" t="s">
        <v>85</v>
      </c>
      <c r="E138" s="22" t="s">
        <v>86</v>
      </c>
      <c r="F138" s="22" t="s">
        <v>63</v>
      </c>
      <c r="G138" s="22" t="s">
        <v>48</v>
      </c>
      <c r="H138" s="22"/>
      <c r="I138" s="121"/>
      <c r="J138" s="121">
        <v>0</v>
      </c>
      <c r="K138" s="23">
        <f>I138-J138</f>
        <v>0</v>
      </c>
      <c r="L138" s="109"/>
      <c r="M138" s="110"/>
      <c r="N138" s="111"/>
      <c r="O138" s="25">
        <f t="shared" ref="O138" si="69">I138-J138-K138</f>
        <v>0</v>
      </c>
      <c r="P138" s="26" t="e">
        <f t="shared" si="63"/>
        <v>#DIV/0!</v>
      </c>
      <c r="Q138" s="239"/>
      <c r="R138" s="240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60" hidden="1" customHeight="1" x14ac:dyDescent="0.25">
      <c r="A139" s="40" t="s">
        <v>139</v>
      </c>
      <c r="B139" s="104" t="s">
        <v>9</v>
      </c>
      <c r="C139" s="104" t="s">
        <v>12</v>
      </c>
      <c r="D139" s="104" t="s">
        <v>14</v>
      </c>
      <c r="E139" s="104" t="s">
        <v>135</v>
      </c>
      <c r="F139" s="104"/>
      <c r="G139" s="104"/>
      <c r="H139" s="104"/>
      <c r="I139" s="106">
        <f>I140</f>
        <v>0</v>
      </c>
      <c r="J139" s="106">
        <f t="shared" ref="J139:K139" si="70">J140</f>
        <v>0</v>
      </c>
      <c r="K139" s="106">
        <f t="shared" si="70"/>
        <v>0</v>
      </c>
      <c r="L139" s="115"/>
      <c r="M139" s="195"/>
      <c r="N139" s="196"/>
      <c r="O139" s="20">
        <f>I139-J139-K139</f>
        <v>0</v>
      </c>
      <c r="P139" s="21" t="e">
        <f t="shared" si="63"/>
        <v>#DIV/0!</v>
      </c>
      <c r="Q139" s="321"/>
      <c r="R139" s="32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10.5" hidden="1" customHeight="1" x14ac:dyDescent="0.25">
      <c r="A140" s="99" t="s">
        <v>47</v>
      </c>
      <c r="B140" s="112" t="s">
        <v>9</v>
      </c>
      <c r="C140" s="112" t="s">
        <v>12</v>
      </c>
      <c r="D140" s="112" t="s">
        <v>14</v>
      </c>
      <c r="E140" s="105" t="s">
        <v>144</v>
      </c>
      <c r="F140" s="112" t="s">
        <v>63</v>
      </c>
      <c r="G140" s="112" t="s">
        <v>48</v>
      </c>
      <c r="H140" s="112"/>
      <c r="I140" s="123">
        <v>0</v>
      </c>
      <c r="J140" s="124">
        <v>0</v>
      </c>
      <c r="K140" s="118">
        <f t="shared" ref="K140" si="71">I140-J140</f>
        <v>0</v>
      </c>
      <c r="L140" s="114"/>
      <c r="M140" s="188"/>
      <c r="N140" s="189"/>
      <c r="O140" s="119">
        <f t="shared" ref="O140:O142" si="72">I140-J140-K140</f>
        <v>0</v>
      </c>
      <c r="P140" s="120" t="e">
        <f t="shared" si="63"/>
        <v>#DIV/0!</v>
      </c>
      <c r="Q140" s="323"/>
      <c r="R140" s="32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16.25" customHeight="1" x14ac:dyDescent="0.25">
      <c r="A141" s="190" t="s">
        <v>154</v>
      </c>
      <c r="B141" s="41" t="s">
        <v>9</v>
      </c>
      <c r="C141" s="41" t="s">
        <v>12</v>
      </c>
      <c r="D141" s="41" t="s">
        <v>14</v>
      </c>
      <c r="E141" s="41" t="s">
        <v>155</v>
      </c>
      <c r="F141" s="41"/>
      <c r="G141" s="41"/>
      <c r="H141" s="41"/>
      <c r="I141" s="56">
        <f>I142</f>
        <v>9742.86</v>
      </c>
      <c r="J141" s="55">
        <f>J142</f>
        <v>2675.58</v>
      </c>
      <c r="K141" s="55">
        <f>I141-J141</f>
        <v>7067.2800000000007</v>
      </c>
      <c r="L141" s="18" t="e">
        <f>L142</f>
        <v>#REF!</v>
      </c>
      <c r="M141" s="186"/>
      <c r="N141" s="187"/>
      <c r="O141" s="20">
        <f t="shared" si="72"/>
        <v>0</v>
      </c>
      <c r="P141" s="21">
        <f>J141/I141*100</f>
        <v>27.461956756024406</v>
      </c>
      <c r="Q141" s="331"/>
      <c r="R141" s="331"/>
      <c r="S141" s="15"/>
    </row>
    <row r="142" spans="1:50" ht="18.75" x14ac:dyDescent="0.25">
      <c r="A142" s="99" t="s">
        <v>113</v>
      </c>
      <c r="B142" s="22" t="s">
        <v>9</v>
      </c>
      <c r="C142" s="22" t="s">
        <v>12</v>
      </c>
      <c r="D142" s="22" t="s">
        <v>14</v>
      </c>
      <c r="E142" s="22" t="s">
        <v>155</v>
      </c>
      <c r="F142" s="22" t="s">
        <v>63</v>
      </c>
      <c r="G142" s="22" t="s">
        <v>114</v>
      </c>
      <c r="H142" s="22"/>
      <c r="I142" s="23">
        <v>9742.86</v>
      </c>
      <c r="J142" s="34">
        <v>2675.58</v>
      </c>
      <c r="K142" s="34">
        <f>I142-J142</f>
        <v>7067.2800000000007</v>
      </c>
      <c r="L142" s="24" t="e">
        <f>#REF!</f>
        <v>#REF!</v>
      </c>
      <c r="M142" s="184"/>
      <c r="N142" s="185"/>
      <c r="O142" s="25">
        <f t="shared" si="72"/>
        <v>0</v>
      </c>
      <c r="P142" s="26">
        <f>J142/I142*100</f>
        <v>27.461956756024406</v>
      </c>
      <c r="Q142" s="331"/>
      <c r="R142" s="331"/>
      <c r="Z142" s="15"/>
      <c r="AA142" s="15"/>
      <c r="AB142" s="15"/>
      <c r="AC142" s="15"/>
      <c r="AD142" s="15"/>
    </row>
    <row r="143" spans="1:50" s="2" customFormat="1" ht="60" customHeight="1" x14ac:dyDescent="0.25">
      <c r="A143" s="199" t="s">
        <v>145</v>
      </c>
      <c r="B143" s="104" t="s">
        <v>9</v>
      </c>
      <c r="C143" s="104" t="s">
        <v>12</v>
      </c>
      <c r="D143" s="104" t="s">
        <v>12</v>
      </c>
      <c r="E143" s="104" t="s">
        <v>126</v>
      </c>
      <c r="F143" s="104"/>
      <c r="G143" s="104"/>
      <c r="H143" s="104"/>
      <c r="I143" s="106">
        <f>I144+I145</f>
        <v>130000</v>
      </c>
      <c r="J143" s="106">
        <f>J145+J144</f>
        <v>75628.490000000005</v>
      </c>
      <c r="K143" s="106">
        <f>K145+K144</f>
        <v>54371.509999999995</v>
      </c>
      <c r="L143" s="115"/>
      <c r="M143" s="195"/>
      <c r="N143" s="196"/>
      <c r="O143" s="20">
        <f>I143-J143-K143</f>
        <v>0</v>
      </c>
      <c r="P143" s="21">
        <f t="shared" si="63"/>
        <v>58.175761538461543</v>
      </c>
      <c r="Q143" s="321"/>
      <c r="R143" s="3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33" customHeight="1" x14ac:dyDescent="0.25">
      <c r="A144" s="194" t="s">
        <v>27</v>
      </c>
      <c r="B144" s="112" t="s">
        <v>9</v>
      </c>
      <c r="C144" s="112" t="s">
        <v>12</v>
      </c>
      <c r="D144" s="112" t="s">
        <v>12</v>
      </c>
      <c r="E144" s="112" t="s">
        <v>126</v>
      </c>
      <c r="F144" s="112" t="s">
        <v>63</v>
      </c>
      <c r="G144" s="112" t="s">
        <v>28</v>
      </c>
      <c r="H144" s="129"/>
      <c r="I144" s="116">
        <v>99846.39</v>
      </c>
      <c r="J144" s="117">
        <v>75628.490000000005</v>
      </c>
      <c r="K144" s="116">
        <f>I144-J144</f>
        <v>24217.899999999994</v>
      </c>
      <c r="L144" s="131"/>
      <c r="M144" s="184"/>
      <c r="N144" s="185"/>
      <c r="O144" s="119">
        <f t="shared" ref="O144:O145" si="73">I144-J144-K144</f>
        <v>0</v>
      </c>
      <c r="P144" s="120">
        <f t="shared" si="63"/>
        <v>75.744841651260515</v>
      </c>
      <c r="Q144" s="325"/>
      <c r="R144" s="326"/>
    </row>
    <row r="145" spans="1:50" s="2" customFormat="1" ht="27.75" customHeight="1" x14ac:dyDescent="0.25">
      <c r="A145" s="175" t="s">
        <v>31</v>
      </c>
      <c r="B145" s="112" t="s">
        <v>9</v>
      </c>
      <c r="C145" s="112" t="s">
        <v>12</v>
      </c>
      <c r="D145" s="112" t="s">
        <v>12</v>
      </c>
      <c r="E145" s="112" t="s">
        <v>126</v>
      </c>
      <c r="F145" s="112" t="s">
        <v>63</v>
      </c>
      <c r="G145" s="112" t="s">
        <v>32</v>
      </c>
      <c r="H145" s="112"/>
      <c r="I145" s="116">
        <v>30153.61</v>
      </c>
      <c r="J145" s="117">
        <v>0</v>
      </c>
      <c r="K145" s="116">
        <f>I145-J145</f>
        <v>30153.61</v>
      </c>
      <c r="L145" s="131"/>
      <c r="M145" s="182"/>
      <c r="N145" s="183"/>
      <c r="O145" s="119">
        <f t="shared" si="73"/>
        <v>0</v>
      </c>
      <c r="P145" s="120">
        <f t="shared" si="63"/>
        <v>0</v>
      </c>
      <c r="Q145" s="323"/>
      <c r="R145" s="3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s="2" customFormat="1" ht="60" hidden="1" customHeight="1" x14ac:dyDescent="0.25">
      <c r="A146" s="199" t="s">
        <v>148</v>
      </c>
      <c r="B146" s="104" t="s">
        <v>9</v>
      </c>
      <c r="C146" s="104" t="s">
        <v>12</v>
      </c>
      <c r="D146" s="104" t="s">
        <v>85</v>
      </c>
      <c r="E146" s="104" t="s">
        <v>147</v>
      </c>
      <c r="F146" s="104"/>
      <c r="G146" s="104"/>
      <c r="H146" s="104"/>
      <c r="I146" s="106">
        <f>I147</f>
        <v>0</v>
      </c>
      <c r="J146" s="106">
        <f t="shared" ref="J146:K148" si="74">J147</f>
        <v>0</v>
      </c>
      <c r="K146" s="106">
        <f t="shared" si="74"/>
        <v>0</v>
      </c>
      <c r="L146" s="115"/>
      <c r="M146" s="195"/>
      <c r="N146" s="196"/>
      <c r="O146" s="20">
        <f>I146-J146-K146</f>
        <v>0</v>
      </c>
      <c r="P146" s="21" t="e">
        <f t="shared" si="63"/>
        <v>#DIV/0!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s="2" customFormat="1" ht="27.75" hidden="1" customHeight="1" x14ac:dyDescent="0.25">
      <c r="A147" s="99" t="s">
        <v>43</v>
      </c>
      <c r="B147" s="112" t="s">
        <v>9</v>
      </c>
      <c r="C147" s="112" t="s">
        <v>12</v>
      </c>
      <c r="D147" s="112" t="s">
        <v>85</v>
      </c>
      <c r="E147" s="105" t="s">
        <v>147</v>
      </c>
      <c r="F147" s="112" t="s">
        <v>63</v>
      </c>
      <c r="G147" s="112" t="s">
        <v>44</v>
      </c>
      <c r="H147" s="112"/>
      <c r="I147" s="118">
        <v>0</v>
      </c>
      <c r="J147" s="158">
        <v>0</v>
      </c>
      <c r="K147" s="118">
        <f t="shared" ref="K147" si="75">I147-J147</f>
        <v>0</v>
      </c>
      <c r="L147" s="114"/>
      <c r="M147" s="188"/>
      <c r="N147" s="189"/>
      <c r="O147" s="119">
        <f t="shared" ref="O147" si="76">I147-J147-K147</f>
        <v>0</v>
      </c>
      <c r="P147" s="120" t="e">
        <f t="shared" si="63"/>
        <v>#DIV/0!</v>
      </c>
      <c r="Q147" s="323"/>
      <c r="R147" s="3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s="2" customFormat="1" ht="41.25" customHeight="1" x14ac:dyDescent="0.25">
      <c r="A148" s="199" t="s">
        <v>161</v>
      </c>
      <c r="B148" s="104" t="s">
        <v>9</v>
      </c>
      <c r="C148" s="104" t="s">
        <v>12</v>
      </c>
      <c r="D148" s="104" t="s">
        <v>85</v>
      </c>
      <c r="E148" s="104" t="s">
        <v>162</v>
      </c>
      <c r="F148" s="104" t="s">
        <v>63</v>
      </c>
      <c r="G148" s="104" t="s">
        <v>42</v>
      </c>
      <c r="H148" s="104"/>
      <c r="I148" s="106">
        <f>I149</f>
        <v>63000</v>
      </c>
      <c r="J148" s="106">
        <f t="shared" si="74"/>
        <v>63000</v>
      </c>
      <c r="K148" s="106">
        <f t="shared" si="74"/>
        <v>0</v>
      </c>
      <c r="L148" s="115"/>
      <c r="M148" s="195"/>
      <c r="N148" s="196"/>
      <c r="O148" s="20">
        <f>I148-J148-K148</f>
        <v>0</v>
      </c>
      <c r="P148" s="21">
        <f t="shared" si="63"/>
        <v>100</v>
      </c>
      <c r="Q148" s="321"/>
      <c r="R148" s="32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s="2" customFormat="1" ht="27.75" customHeight="1" x14ac:dyDescent="0.25">
      <c r="A149" s="99" t="s">
        <v>43</v>
      </c>
      <c r="B149" s="112" t="s">
        <v>9</v>
      </c>
      <c r="C149" s="112" t="s">
        <v>12</v>
      </c>
      <c r="D149" s="112" t="s">
        <v>85</v>
      </c>
      <c r="E149" s="113" t="s">
        <v>162</v>
      </c>
      <c r="F149" s="112" t="s">
        <v>63</v>
      </c>
      <c r="G149" s="112" t="s">
        <v>42</v>
      </c>
      <c r="H149" s="112"/>
      <c r="I149" s="116">
        <v>63000</v>
      </c>
      <c r="J149" s="117">
        <v>63000</v>
      </c>
      <c r="K149" s="118">
        <f t="shared" ref="K149" si="77">I149-J149</f>
        <v>0</v>
      </c>
      <c r="L149" s="114"/>
      <c r="M149" s="188"/>
      <c r="N149" s="189"/>
      <c r="O149" s="119">
        <f>I149-J149-K149</f>
        <v>0</v>
      </c>
      <c r="P149" s="120">
        <f t="shared" si="63"/>
        <v>100</v>
      </c>
      <c r="Q149" s="323"/>
      <c r="R149" s="3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22.5" customHeight="1" x14ac:dyDescent="0.3">
      <c r="A150" s="333" t="s">
        <v>71</v>
      </c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5"/>
      <c r="Q150" s="336"/>
      <c r="R150" s="337"/>
    </row>
    <row r="151" spans="1:50" ht="78" x14ac:dyDescent="0.25">
      <c r="A151" s="51" t="s">
        <v>8</v>
      </c>
      <c r="B151" s="52" t="s">
        <v>9</v>
      </c>
      <c r="C151" s="52"/>
      <c r="D151" s="52"/>
      <c r="E151" s="52"/>
      <c r="F151" s="52"/>
      <c r="G151" s="52"/>
      <c r="H151" s="52"/>
      <c r="I151" s="53">
        <f>I152+I163+I159+I167+I169+I174+I177+I180+I155+I157</f>
        <v>17139524.57</v>
      </c>
      <c r="J151" s="53">
        <f>J152+J163+J159+J169+J174+J167+J177+J180+J155+J157</f>
        <v>8013930.7800000012</v>
      </c>
      <c r="K151" s="53">
        <f>K152+K163+K159+K167+K169+K174+K177+K180+K155+K157</f>
        <v>9125593.7899999991</v>
      </c>
      <c r="L151" s="53" t="e">
        <f>L152+L163</f>
        <v>#REF!</v>
      </c>
      <c r="M151" s="53" t="e">
        <f>M152+M163</f>
        <v>#REF!</v>
      </c>
      <c r="N151" s="53" t="e">
        <f>N152+N163</f>
        <v>#REF!</v>
      </c>
      <c r="O151" s="53">
        <f>I151-J151-K151</f>
        <v>0</v>
      </c>
      <c r="P151" s="53">
        <f>P152+P163</f>
        <v>111.58116674260957</v>
      </c>
      <c r="Q151" s="331"/>
      <c r="R151" s="331"/>
    </row>
    <row r="152" spans="1:50" ht="24" customHeight="1" x14ac:dyDescent="0.25">
      <c r="A152" s="173" t="s">
        <v>11</v>
      </c>
      <c r="B152" s="8" t="s">
        <v>9</v>
      </c>
      <c r="C152" s="8" t="s">
        <v>12</v>
      </c>
      <c r="D152" s="8"/>
      <c r="E152" s="8"/>
      <c r="F152" s="8"/>
      <c r="G152" s="8"/>
      <c r="H152" s="8"/>
      <c r="I152" s="9">
        <f>I153</f>
        <v>248300</v>
      </c>
      <c r="J152" s="9">
        <f t="shared" ref="J152:N152" si="78">J153</f>
        <v>167455.26</v>
      </c>
      <c r="K152" s="9">
        <f t="shared" ref="K152:K158" si="79">I152-J152</f>
        <v>80844.739999999991</v>
      </c>
      <c r="L152" s="9" t="e">
        <f t="shared" si="78"/>
        <v>#REF!</v>
      </c>
      <c r="M152" s="9">
        <f t="shared" si="78"/>
        <v>0</v>
      </c>
      <c r="N152" s="9">
        <f t="shared" si="78"/>
        <v>0</v>
      </c>
      <c r="O152" s="9">
        <f t="shared" ref="O152:O172" si="80">I152-J152-K152</f>
        <v>0</v>
      </c>
      <c r="P152" s="12">
        <f t="shared" ref="P152:P161" si="81">J152/I152*100</f>
        <v>67.440700765203388</v>
      </c>
      <c r="Q152" s="331"/>
      <c r="R152" s="331"/>
    </row>
    <row r="153" spans="1:50" ht="102.75" customHeight="1" x14ac:dyDescent="0.25">
      <c r="A153" s="190" t="s">
        <v>153</v>
      </c>
      <c r="B153" s="41" t="s">
        <v>9</v>
      </c>
      <c r="C153" s="41" t="s">
        <v>12</v>
      </c>
      <c r="D153" s="41" t="s">
        <v>14</v>
      </c>
      <c r="E153" s="41" t="s">
        <v>72</v>
      </c>
      <c r="F153" s="41"/>
      <c r="G153" s="41"/>
      <c r="H153" s="41"/>
      <c r="I153" s="56">
        <f>I154</f>
        <v>248300</v>
      </c>
      <c r="J153" s="55">
        <f>J154</f>
        <v>167455.26</v>
      </c>
      <c r="K153" s="55">
        <f t="shared" si="79"/>
        <v>80844.739999999991</v>
      </c>
      <c r="L153" s="18" t="e">
        <f>L154</f>
        <v>#REF!</v>
      </c>
      <c r="M153" s="186"/>
      <c r="N153" s="187"/>
      <c r="O153" s="20">
        <f t="shared" si="80"/>
        <v>0</v>
      </c>
      <c r="P153" s="21">
        <f t="shared" si="81"/>
        <v>67.440700765203388</v>
      </c>
      <c r="Q153" s="331"/>
      <c r="R153" s="331"/>
      <c r="S153" s="15"/>
    </row>
    <row r="154" spans="1:50" ht="18.75" x14ac:dyDescent="0.25">
      <c r="A154" s="99" t="s">
        <v>113</v>
      </c>
      <c r="B154" s="22" t="s">
        <v>9</v>
      </c>
      <c r="C154" s="22" t="s">
        <v>12</v>
      </c>
      <c r="D154" s="22" t="s">
        <v>14</v>
      </c>
      <c r="E154" s="43" t="s">
        <v>72</v>
      </c>
      <c r="F154" s="22" t="s">
        <v>63</v>
      </c>
      <c r="G154" s="22" t="s">
        <v>114</v>
      </c>
      <c r="H154" s="22"/>
      <c r="I154" s="23">
        <v>248300</v>
      </c>
      <c r="J154" s="34">
        <v>167455.26</v>
      </c>
      <c r="K154" s="34">
        <f t="shared" si="79"/>
        <v>80844.739999999991</v>
      </c>
      <c r="L154" s="24" t="e">
        <f>#REF!</f>
        <v>#REF!</v>
      </c>
      <c r="M154" s="184"/>
      <c r="N154" s="185"/>
      <c r="O154" s="25">
        <f t="shared" si="80"/>
        <v>0</v>
      </c>
      <c r="P154" s="26">
        <f t="shared" si="81"/>
        <v>67.440700765203388</v>
      </c>
      <c r="Q154" s="331"/>
      <c r="R154" s="331"/>
      <c r="Z154" s="15"/>
      <c r="AA154" s="15"/>
      <c r="AB154" s="15"/>
      <c r="AC154" s="15"/>
      <c r="AD154" s="15"/>
    </row>
    <row r="155" spans="1:50" ht="131.25" customHeight="1" x14ac:dyDescent="0.25">
      <c r="A155" s="190" t="s">
        <v>154</v>
      </c>
      <c r="B155" s="41" t="s">
        <v>9</v>
      </c>
      <c r="C155" s="41" t="s">
        <v>12</v>
      </c>
      <c r="D155" s="41" t="s">
        <v>14</v>
      </c>
      <c r="E155" s="41" t="s">
        <v>159</v>
      </c>
      <c r="F155" s="41"/>
      <c r="G155" s="41"/>
      <c r="H155" s="41"/>
      <c r="I155" s="56">
        <f>I156</f>
        <v>477400</v>
      </c>
      <c r="J155" s="55">
        <f>J156</f>
        <v>151267.20000000001</v>
      </c>
      <c r="K155" s="55">
        <f t="shared" si="79"/>
        <v>326132.8</v>
      </c>
      <c r="L155" s="18" t="e">
        <f>L156</f>
        <v>#REF!</v>
      </c>
      <c r="M155" s="186"/>
      <c r="N155" s="187"/>
      <c r="O155" s="20">
        <f t="shared" si="80"/>
        <v>0</v>
      </c>
      <c r="P155" s="21">
        <f t="shared" si="81"/>
        <v>31.68563049853373</v>
      </c>
      <c r="Q155" s="331"/>
      <c r="R155" s="331"/>
      <c r="S155" s="15"/>
    </row>
    <row r="156" spans="1:50" ht="18.75" x14ac:dyDescent="0.25">
      <c r="A156" s="99" t="s">
        <v>113</v>
      </c>
      <c r="B156" s="22" t="s">
        <v>9</v>
      </c>
      <c r="C156" s="22" t="s">
        <v>12</v>
      </c>
      <c r="D156" s="22" t="s">
        <v>14</v>
      </c>
      <c r="E156" s="43" t="s">
        <v>159</v>
      </c>
      <c r="F156" s="22" t="s">
        <v>63</v>
      </c>
      <c r="G156" s="22" t="s">
        <v>114</v>
      </c>
      <c r="H156" s="22"/>
      <c r="I156" s="23">
        <v>477400</v>
      </c>
      <c r="J156" s="34">
        <v>151267.20000000001</v>
      </c>
      <c r="K156" s="34">
        <f t="shared" si="79"/>
        <v>326132.8</v>
      </c>
      <c r="L156" s="24" t="e">
        <f>#REF!</f>
        <v>#REF!</v>
      </c>
      <c r="M156" s="184"/>
      <c r="N156" s="185"/>
      <c r="O156" s="25">
        <f t="shared" si="80"/>
        <v>0</v>
      </c>
      <c r="P156" s="26">
        <f t="shared" si="81"/>
        <v>31.68563049853373</v>
      </c>
      <c r="Q156" s="331"/>
      <c r="R156" s="331"/>
      <c r="Z156" s="15"/>
      <c r="AA156" s="15"/>
      <c r="AB156" s="15"/>
      <c r="AC156" s="15"/>
      <c r="AD156" s="15"/>
    </row>
    <row r="157" spans="1:50" ht="117.75" customHeight="1" x14ac:dyDescent="0.25">
      <c r="A157" s="190" t="s">
        <v>154</v>
      </c>
      <c r="B157" s="41" t="s">
        <v>9</v>
      </c>
      <c r="C157" s="41" t="s">
        <v>12</v>
      </c>
      <c r="D157" s="41" t="s">
        <v>14</v>
      </c>
      <c r="E157" s="41" t="s">
        <v>160</v>
      </c>
      <c r="F157" s="41"/>
      <c r="G157" s="41"/>
      <c r="H157" s="41"/>
      <c r="I157" s="56">
        <f>I158</f>
        <v>4563328.57</v>
      </c>
      <c r="J157" s="55">
        <f>J158</f>
        <v>1383624.27</v>
      </c>
      <c r="K157" s="55">
        <f t="shared" si="79"/>
        <v>3179704.3000000003</v>
      </c>
      <c r="L157" s="18" t="e">
        <f>L158</f>
        <v>#REF!</v>
      </c>
      <c r="M157" s="186"/>
      <c r="N157" s="187"/>
      <c r="O157" s="20">
        <f t="shared" si="80"/>
        <v>0</v>
      </c>
      <c r="P157" s="21">
        <f t="shared" si="81"/>
        <v>30.320505060629461</v>
      </c>
      <c r="Q157" s="331"/>
      <c r="R157" s="331"/>
      <c r="S157" s="15"/>
    </row>
    <row r="158" spans="1:50" ht="18.75" x14ac:dyDescent="0.25">
      <c r="A158" s="99" t="s">
        <v>113</v>
      </c>
      <c r="B158" s="22" t="s">
        <v>9</v>
      </c>
      <c r="C158" s="22" t="s">
        <v>12</v>
      </c>
      <c r="D158" s="22" t="s">
        <v>14</v>
      </c>
      <c r="E158" s="43" t="s">
        <v>160</v>
      </c>
      <c r="F158" s="22" t="s">
        <v>22</v>
      </c>
      <c r="G158" s="22" t="s">
        <v>114</v>
      </c>
      <c r="H158" s="22"/>
      <c r="I158" s="23">
        <v>4563328.57</v>
      </c>
      <c r="J158" s="34">
        <v>1383624.27</v>
      </c>
      <c r="K158" s="34">
        <f t="shared" si="79"/>
        <v>3179704.3000000003</v>
      </c>
      <c r="L158" s="24" t="e">
        <f>#REF!</f>
        <v>#REF!</v>
      </c>
      <c r="M158" s="184"/>
      <c r="N158" s="185"/>
      <c r="O158" s="25">
        <f t="shared" si="80"/>
        <v>0</v>
      </c>
      <c r="P158" s="26">
        <f t="shared" si="81"/>
        <v>30.320505060629461</v>
      </c>
      <c r="Q158" s="331"/>
      <c r="R158" s="331"/>
      <c r="Z158" s="15"/>
      <c r="AA158" s="15"/>
      <c r="AB158" s="15"/>
      <c r="AC158" s="15"/>
      <c r="AD158" s="15"/>
    </row>
    <row r="159" spans="1:50" ht="56.25" hidden="1" x14ac:dyDescent="0.25">
      <c r="A159" s="199" t="s">
        <v>143</v>
      </c>
      <c r="B159" s="104" t="s">
        <v>9</v>
      </c>
      <c r="C159" s="104" t="s">
        <v>12</v>
      </c>
      <c r="D159" s="104" t="s">
        <v>14</v>
      </c>
      <c r="E159" s="104" t="s">
        <v>138</v>
      </c>
      <c r="F159" s="104"/>
      <c r="G159" s="104"/>
      <c r="H159" s="104"/>
      <c r="I159" s="106">
        <f>I161+I160+I162</f>
        <v>0</v>
      </c>
      <c r="J159" s="106">
        <f>J161+J160+J162</f>
        <v>0</v>
      </c>
      <c r="K159" s="106">
        <f t="shared" ref="K159" si="82">K161</f>
        <v>0</v>
      </c>
      <c r="L159" s="115"/>
      <c r="M159" s="195"/>
      <c r="N159" s="196"/>
      <c r="O159" s="20">
        <f>I159-J159-K159</f>
        <v>0</v>
      </c>
      <c r="P159" s="21" t="e">
        <f t="shared" si="81"/>
        <v>#DIV/0!</v>
      </c>
      <c r="Q159" s="331"/>
      <c r="R159" s="331"/>
      <c r="Z159" s="15"/>
      <c r="AA159" s="15"/>
      <c r="AB159" s="15"/>
      <c r="AC159" s="15"/>
      <c r="AD159" s="15"/>
    </row>
    <row r="160" spans="1:50" ht="18.75" hidden="1" x14ac:dyDescent="0.25">
      <c r="A160" s="200" t="s">
        <v>43</v>
      </c>
      <c r="B160" s="112" t="s">
        <v>9</v>
      </c>
      <c r="C160" s="112" t="s">
        <v>12</v>
      </c>
      <c r="D160" s="112" t="s">
        <v>14</v>
      </c>
      <c r="E160" s="113" t="s">
        <v>138</v>
      </c>
      <c r="F160" s="112" t="s">
        <v>63</v>
      </c>
      <c r="G160" s="112" t="s">
        <v>44</v>
      </c>
      <c r="H160" s="129"/>
      <c r="I160" s="118">
        <v>0</v>
      </c>
      <c r="J160" s="158">
        <v>0</v>
      </c>
      <c r="K160" s="116"/>
      <c r="L160" s="135"/>
      <c r="M160" s="182"/>
      <c r="N160" s="183"/>
      <c r="O160" s="119"/>
      <c r="P160" s="120"/>
      <c r="Q160" s="331"/>
      <c r="R160" s="331"/>
      <c r="Z160" s="15"/>
      <c r="AA160" s="15"/>
      <c r="AB160" s="15"/>
      <c r="AC160" s="15"/>
      <c r="AD160" s="15"/>
    </row>
    <row r="161" spans="1:50" ht="25.5" hidden="1" customHeight="1" x14ac:dyDescent="0.25">
      <c r="A161" s="99" t="s">
        <v>47</v>
      </c>
      <c r="B161" s="112" t="s">
        <v>9</v>
      </c>
      <c r="C161" s="112" t="s">
        <v>12</v>
      </c>
      <c r="D161" s="112" t="s">
        <v>14</v>
      </c>
      <c r="E161" s="113" t="s">
        <v>138</v>
      </c>
      <c r="F161" s="112" t="s">
        <v>63</v>
      </c>
      <c r="G161" s="112" t="s">
        <v>48</v>
      </c>
      <c r="H161" s="112"/>
      <c r="I161" s="118">
        <v>0</v>
      </c>
      <c r="J161" s="158">
        <v>0</v>
      </c>
      <c r="K161" s="118">
        <f t="shared" ref="K161:K173" si="83">I161-J161</f>
        <v>0</v>
      </c>
      <c r="L161" s="114"/>
      <c r="M161" s="188"/>
      <c r="N161" s="189"/>
      <c r="O161" s="119">
        <f t="shared" ref="O161" si="84">I161-J161-K161</f>
        <v>0</v>
      </c>
      <c r="P161" s="120" t="e">
        <f t="shared" si="81"/>
        <v>#DIV/0!</v>
      </c>
      <c r="Q161" s="331"/>
      <c r="R161" s="331"/>
      <c r="Z161" s="15"/>
      <c r="AA161" s="15"/>
      <c r="AB161" s="15"/>
      <c r="AC161" s="15"/>
      <c r="AD161" s="15"/>
    </row>
    <row r="162" spans="1:50" ht="25.5" hidden="1" customHeight="1" x14ac:dyDescent="0.25">
      <c r="A162" s="175" t="s">
        <v>109</v>
      </c>
      <c r="B162" s="112" t="s">
        <v>9</v>
      </c>
      <c r="C162" s="112" t="s">
        <v>12</v>
      </c>
      <c r="D162" s="112" t="s">
        <v>14</v>
      </c>
      <c r="E162" s="113" t="s">
        <v>138</v>
      </c>
      <c r="F162" s="112" t="s">
        <v>63</v>
      </c>
      <c r="G162" s="112" t="s">
        <v>104</v>
      </c>
      <c r="H162" s="112"/>
      <c r="I162" s="118">
        <v>0</v>
      </c>
      <c r="J162" s="158">
        <v>0</v>
      </c>
      <c r="K162" s="118"/>
      <c r="L162" s="114"/>
      <c r="M162" s="188"/>
      <c r="N162" s="189"/>
      <c r="O162" s="119"/>
      <c r="P162" s="120"/>
      <c r="Q162" s="331"/>
      <c r="R162" s="331"/>
      <c r="Z162" s="15"/>
      <c r="AA162" s="15"/>
      <c r="AB162" s="15"/>
      <c r="AC162" s="15"/>
      <c r="AD162" s="15"/>
    </row>
    <row r="163" spans="1:50" s="47" customFormat="1" ht="19.5" x14ac:dyDescent="0.35">
      <c r="A163" s="58" t="s">
        <v>75</v>
      </c>
      <c r="B163" s="59" t="s">
        <v>9</v>
      </c>
      <c r="C163" s="59" t="s">
        <v>76</v>
      </c>
      <c r="D163" s="59"/>
      <c r="E163" s="59"/>
      <c r="F163" s="59"/>
      <c r="G163" s="59"/>
      <c r="H163" s="59"/>
      <c r="I163" s="60">
        <f t="shared" ref="I163:J167" si="85">I164</f>
        <v>5202484</v>
      </c>
      <c r="J163" s="60">
        <f t="shared" si="85"/>
        <v>2296400.6800000002</v>
      </c>
      <c r="K163" s="60">
        <f t="shared" si="83"/>
        <v>2906083.32</v>
      </c>
      <c r="L163" s="60" t="e">
        <f>L164+#REF!</f>
        <v>#REF!</v>
      </c>
      <c r="M163" s="60" t="e">
        <f>M164+#REF!</f>
        <v>#REF!</v>
      </c>
      <c r="N163" s="60" t="e">
        <f>N164+#REF!</f>
        <v>#REF!</v>
      </c>
      <c r="O163" s="60">
        <f t="shared" si="80"/>
        <v>0</v>
      </c>
      <c r="P163" s="61">
        <f t="shared" ref="P163:P164" si="86">J163*100/I163</f>
        <v>44.14046597740618</v>
      </c>
      <c r="Q163" s="331"/>
      <c r="R163" s="331"/>
    </row>
    <row r="164" spans="1:50" ht="19.5" x14ac:dyDescent="0.35">
      <c r="A164" s="62" t="s">
        <v>77</v>
      </c>
      <c r="B164" s="63" t="s">
        <v>9</v>
      </c>
      <c r="C164" s="63" t="s">
        <v>76</v>
      </c>
      <c r="D164" s="63" t="s">
        <v>78</v>
      </c>
      <c r="E164" s="63"/>
      <c r="F164" s="63"/>
      <c r="G164" s="63"/>
      <c r="H164" s="63"/>
      <c r="I164" s="125">
        <f t="shared" si="85"/>
        <v>5202484</v>
      </c>
      <c r="J164" s="125">
        <f t="shared" si="85"/>
        <v>2296400.6800000002</v>
      </c>
      <c r="K164" s="64">
        <f t="shared" si="83"/>
        <v>2906083.32</v>
      </c>
      <c r="L164" s="64" t="e">
        <f t="shared" ref="L164:N164" si="87">L165</f>
        <v>#REF!</v>
      </c>
      <c r="M164" s="64">
        <f t="shared" si="87"/>
        <v>0</v>
      </c>
      <c r="N164" s="64">
        <f t="shared" si="87"/>
        <v>0</v>
      </c>
      <c r="O164" s="64">
        <f t="shared" si="80"/>
        <v>0</v>
      </c>
      <c r="P164" s="65">
        <f t="shared" si="86"/>
        <v>44.14046597740618</v>
      </c>
      <c r="Q164" s="331"/>
      <c r="R164" s="331"/>
    </row>
    <row r="165" spans="1:50" ht="135.75" customHeight="1" x14ac:dyDescent="0.25">
      <c r="A165" s="86" t="s">
        <v>79</v>
      </c>
      <c r="B165" s="41" t="s">
        <v>9</v>
      </c>
      <c r="C165" s="41" t="s">
        <v>76</v>
      </c>
      <c r="D165" s="41" t="s">
        <v>78</v>
      </c>
      <c r="E165" s="66">
        <v>7110175110</v>
      </c>
      <c r="F165" s="41"/>
      <c r="G165" s="41"/>
      <c r="H165" s="41"/>
      <c r="I165" s="17">
        <f t="shared" si="85"/>
        <v>5202484</v>
      </c>
      <c r="J165" s="17">
        <f t="shared" si="85"/>
        <v>2296400.6800000002</v>
      </c>
      <c r="K165" s="17">
        <f t="shared" si="83"/>
        <v>2906083.32</v>
      </c>
      <c r="L165" s="18" t="e">
        <f>L166</f>
        <v>#REF!</v>
      </c>
      <c r="M165" s="186"/>
      <c r="N165" s="187"/>
      <c r="O165" s="20">
        <f t="shared" si="80"/>
        <v>0</v>
      </c>
      <c r="P165" s="21">
        <f>J165/I165*100</f>
        <v>44.14046597740618</v>
      </c>
      <c r="Q165" s="331"/>
      <c r="R165" s="331"/>
    </row>
    <row r="166" spans="1:50" s="46" customFormat="1" ht="37.5" x14ac:dyDescent="0.25">
      <c r="A166" s="175" t="s">
        <v>93</v>
      </c>
      <c r="B166" s="22" t="s">
        <v>9</v>
      </c>
      <c r="C166" s="22" t="s">
        <v>76</v>
      </c>
      <c r="D166" s="22" t="s">
        <v>78</v>
      </c>
      <c r="E166" s="67">
        <v>7110175100</v>
      </c>
      <c r="F166" s="22" t="s">
        <v>63</v>
      </c>
      <c r="G166" s="22" t="s">
        <v>94</v>
      </c>
      <c r="H166" s="22"/>
      <c r="I166" s="23">
        <v>5202484</v>
      </c>
      <c r="J166" s="23">
        <v>2296400.6800000002</v>
      </c>
      <c r="K166" s="23">
        <f t="shared" si="83"/>
        <v>2906083.32</v>
      </c>
      <c r="L166" s="24" t="e">
        <f>#REF!</f>
        <v>#REF!</v>
      </c>
      <c r="M166" s="182"/>
      <c r="N166" s="183"/>
      <c r="O166" s="25">
        <f t="shared" si="80"/>
        <v>0</v>
      </c>
      <c r="P166" s="26">
        <f t="shared" ref="P166" si="88">J166/I166*100</f>
        <v>44.14046597740618</v>
      </c>
      <c r="Q166" s="331"/>
      <c r="R166" s="331"/>
      <c r="S166" s="1"/>
      <c r="T166" s="1"/>
      <c r="U166" s="1"/>
      <c r="V166" s="1"/>
      <c r="W166" s="1"/>
      <c r="X166" s="1"/>
      <c r="Y166" s="1"/>
      <c r="Z166" s="68"/>
      <c r="AA166" s="68"/>
      <c r="AB166" s="68"/>
      <c r="AC166" s="68"/>
      <c r="AD166" s="68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62.25" hidden="1" customHeight="1" x14ac:dyDescent="0.25">
      <c r="A167" s="40" t="s">
        <v>139</v>
      </c>
      <c r="B167" s="41" t="s">
        <v>9</v>
      </c>
      <c r="C167" s="41" t="s">
        <v>12</v>
      </c>
      <c r="D167" s="41" t="s">
        <v>14</v>
      </c>
      <c r="E167" s="66" t="s">
        <v>135</v>
      </c>
      <c r="F167" s="41"/>
      <c r="G167" s="41"/>
      <c r="H167" s="41"/>
      <c r="I167" s="17">
        <f t="shared" si="85"/>
        <v>0</v>
      </c>
      <c r="J167" s="17">
        <f t="shared" si="85"/>
        <v>0</v>
      </c>
      <c r="K167" s="17">
        <f t="shared" si="83"/>
        <v>0</v>
      </c>
      <c r="L167" s="18" t="e">
        <f>L168</f>
        <v>#REF!</v>
      </c>
      <c r="M167" s="186"/>
      <c r="N167" s="187"/>
      <c r="O167" s="20">
        <f t="shared" si="80"/>
        <v>0</v>
      </c>
      <c r="P167" s="21" t="e">
        <f>J167/I167*100</f>
        <v>#DIV/0!</v>
      </c>
      <c r="Q167" s="331"/>
      <c r="R167" s="331"/>
    </row>
    <row r="168" spans="1:50" s="46" customFormat="1" ht="18.75" hidden="1" x14ac:dyDescent="0.25">
      <c r="A168" s="99" t="s">
        <v>47</v>
      </c>
      <c r="B168" s="22" t="s">
        <v>9</v>
      </c>
      <c r="C168" s="16" t="s">
        <v>12</v>
      </c>
      <c r="D168" s="16" t="s">
        <v>14</v>
      </c>
      <c r="E168" s="134" t="s">
        <v>135</v>
      </c>
      <c r="F168" s="22" t="s">
        <v>63</v>
      </c>
      <c r="G168" s="22" t="s">
        <v>48</v>
      </c>
      <c r="H168" s="22"/>
      <c r="I168" s="35">
        <v>0</v>
      </c>
      <c r="J168" s="35">
        <v>0</v>
      </c>
      <c r="K168" s="23">
        <f t="shared" si="83"/>
        <v>0</v>
      </c>
      <c r="L168" s="24" t="e">
        <f>#REF!</f>
        <v>#REF!</v>
      </c>
      <c r="M168" s="182"/>
      <c r="N168" s="183"/>
      <c r="O168" s="25">
        <f t="shared" si="80"/>
        <v>0</v>
      </c>
      <c r="P168" s="26" t="e">
        <f t="shared" ref="P168" si="89">J168/I168*100</f>
        <v>#DIV/0!</v>
      </c>
      <c r="Q168" s="331"/>
      <c r="R168" s="331"/>
      <c r="S168" s="1"/>
      <c r="T168" s="1"/>
      <c r="U168" s="1"/>
      <c r="V168" s="1"/>
      <c r="W168" s="1"/>
      <c r="X168" s="1"/>
      <c r="Y168" s="1"/>
      <c r="Z168" s="68"/>
      <c r="AA168" s="68"/>
      <c r="AB168" s="68"/>
      <c r="AC168" s="68"/>
      <c r="AD168" s="68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62.25" hidden="1" customHeight="1" x14ac:dyDescent="0.25">
      <c r="A169" s="199" t="s">
        <v>148</v>
      </c>
      <c r="B169" s="41" t="s">
        <v>9</v>
      </c>
      <c r="C169" s="41" t="s">
        <v>12</v>
      </c>
      <c r="D169" s="41" t="s">
        <v>85</v>
      </c>
      <c r="E169" s="66">
        <v>7010470790</v>
      </c>
      <c r="F169" s="41"/>
      <c r="G169" s="41"/>
      <c r="H169" s="41"/>
      <c r="I169" s="17">
        <f>I172+I170+I171+I173</f>
        <v>0</v>
      </c>
      <c r="J169" s="17">
        <f>J172+J170+J171+J173</f>
        <v>0</v>
      </c>
      <c r="K169" s="17">
        <f t="shared" si="83"/>
        <v>0</v>
      </c>
      <c r="L169" s="18" t="e">
        <f>L172</f>
        <v>#REF!</v>
      </c>
      <c r="M169" s="186"/>
      <c r="N169" s="187"/>
      <c r="O169" s="20">
        <f t="shared" si="80"/>
        <v>0</v>
      </c>
      <c r="P169" s="21" t="e">
        <f>J169/I169*100</f>
        <v>#DIV/0!</v>
      </c>
      <c r="Q169" s="331"/>
      <c r="R169" s="331"/>
    </row>
    <row r="170" spans="1:50" ht="27" hidden="1" customHeight="1" x14ac:dyDescent="0.25">
      <c r="A170" s="200" t="s">
        <v>56</v>
      </c>
      <c r="B170" s="22" t="s">
        <v>9</v>
      </c>
      <c r="C170" s="22" t="s">
        <v>12</v>
      </c>
      <c r="D170" s="22" t="s">
        <v>85</v>
      </c>
      <c r="E170" s="67">
        <v>7010470790</v>
      </c>
      <c r="F170" s="22" t="s">
        <v>63</v>
      </c>
      <c r="G170" s="22" t="s">
        <v>38</v>
      </c>
      <c r="H170" s="22"/>
      <c r="I170" s="23"/>
      <c r="J170" s="23"/>
      <c r="K170" s="23">
        <f>I170-J170</f>
        <v>0</v>
      </c>
      <c r="L170" s="24"/>
      <c r="M170" s="182"/>
      <c r="N170" s="183"/>
      <c r="O170" s="25"/>
      <c r="P170" s="26"/>
      <c r="Q170" s="331"/>
      <c r="R170" s="331"/>
    </row>
    <row r="171" spans="1:50" ht="20.25" hidden="1" customHeight="1" x14ac:dyDescent="0.25">
      <c r="A171" s="200" t="s">
        <v>43</v>
      </c>
      <c r="B171" s="22" t="s">
        <v>9</v>
      </c>
      <c r="C171" s="22" t="s">
        <v>12</v>
      </c>
      <c r="D171" s="22" t="s">
        <v>85</v>
      </c>
      <c r="E171" s="67">
        <v>7010470790</v>
      </c>
      <c r="F171" s="22" t="s">
        <v>63</v>
      </c>
      <c r="G171" s="22" t="s">
        <v>44</v>
      </c>
      <c r="H171" s="22"/>
      <c r="I171" s="23"/>
      <c r="J171" s="23"/>
      <c r="K171" s="23">
        <f>I171-J171</f>
        <v>0</v>
      </c>
      <c r="L171" s="24"/>
      <c r="M171" s="182"/>
      <c r="N171" s="183"/>
      <c r="O171" s="25"/>
      <c r="P171" s="26"/>
      <c r="Q171" s="331"/>
      <c r="R171" s="331"/>
    </row>
    <row r="172" spans="1:50" s="2" customFormat="1" ht="24" hidden="1" customHeight="1" x14ac:dyDescent="0.25">
      <c r="A172" s="201" t="s">
        <v>47</v>
      </c>
      <c r="B172" s="112" t="s">
        <v>9</v>
      </c>
      <c r="C172" s="112" t="s">
        <v>12</v>
      </c>
      <c r="D172" s="112" t="s">
        <v>85</v>
      </c>
      <c r="E172" s="138">
        <v>7010470790</v>
      </c>
      <c r="F172" s="112" t="s">
        <v>63</v>
      </c>
      <c r="G172" s="112" t="s">
        <v>48</v>
      </c>
      <c r="H172" s="112"/>
      <c r="I172" s="116"/>
      <c r="J172" s="116"/>
      <c r="K172" s="116">
        <f t="shared" si="83"/>
        <v>0</v>
      </c>
      <c r="L172" s="136" t="e">
        <f>#REF!</f>
        <v>#REF!</v>
      </c>
      <c r="M172" s="182"/>
      <c r="N172" s="183"/>
      <c r="O172" s="119">
        <f t="shared" si="80"/>
        <v>0</v>
      </c>
      <c r="P172" s="120" t="e">
        <f t="shared" ref="P172:P174" si="90">J172/I172*100</f>
        <v>#DIV/0!</v>
      </c>
      <c r="Q172" s="332"/>
      <c r="R172" s="332"/>
      <c r="S172" s="1"/>
      <c r="T172" s="1"/>
      <c r="U172" s="1"/>
      <c r="V172" s="1"/>
      <c r="W172" s="1"/>
      <c r="X172" s="1"/>
      <c r="Y172" s="1"/>
      <c r="Z172" s="68"/>
      <c r="AA172" s="68"/>
      <c r="AB172" s="68"/>
      <c r="AC172" s="68"/>
      <c r="AD172" s="6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2" customFormat="1" ht="24" hidden="1" customHeight="1" x14ac:dyDescent="0.25">
      <c r="A173" s="175" t="s">
        <v>109</v>
      </c>
      <c r="B173" s="112" t="s">
        <v>9</v>
      </c>
      <c r="C173" s="112" t="s">
        <v>12</v>
      </c>
      <c r="D173" s="112" t="s">
        <v>85</v>
      </c>
      <c r="E173" s="138">
        <v>7010470790</v>
      </c>
      <c r="F173" s="112" t="s">
        <v>63</v>
      </c>
      <c r="G173" s="112" t="s">
        <v>104</v>
      </c>
      <c r="H173" s="22"/>
      <c r="I173" s="23"/>
      <c r="J173" s="23"/>
      <c r="K173" s="116">
        <f t="shared" si="83"/>
        <v>0</v>
      </c>
      <c r="L173" s="137"/>
      <c r="M173" s="245"/>
      <c r="N173" s="244"/>
      <c r="O173" s="119">
        <f>I173-J173-K173</f>
        <v>0</v>
      </c>
      <c r="P173" s="120" t="e">
        <f t="shared" si="90"/>
        <v>#DIV/0!</v>
      </c>
      <c r="Q173" s="332"/>
      <c r="R173" s="332"/>
      <c r="S173" s="1"/>
      <c r="T173" s="1"/>
      <c r="U173" s="1"/>
      <c r="V173" s="1"/>
      <c r="W173" s="1"/>
      <c r="X173" s="1"/>
      <c r="Y173" s="1"/>
      <c r="Z173" s="68"/>
      <c r="AA173" s="68"/>
      <c r="AB173" s="68"/>
      <c r="AC173" s="68"/>
      <c r="AD173" s="68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2" customFormat="1" ht="60" hidden="1" customHeight="1" x14ac:dyDescent="0.25">
      <c r="A174" s="199" t="s">
        <v>145</v>
      </c>
      <c r="B174" s="104" t="s">
        <v>9</v>
      </c>
      <c r="C174" s="104" t="s">
        <v>12</v>
      </c>
      <c r="D174" s="104" t="s">
        <v>12</v>
      </c>
      <c r="E174" s="104" t="s">
        <v>149</v>
      </c>
      <c r="F174" s="104"/>
      <c r="G174" s="104"/>
      <c r="H174" s="104"/>
      <c r="I174" s="106">
        <f>I175+I176</f>
        <v>0</v>
      </c>
      <c r="J174" s="106">
        <f>J176+J175</f>
        <v>0</v>
      </c>
      <c r="K174" s="106">
        <f>K176+K175</f>
        <v>0</v>
      </c>
      <c r="L174" s="115"/>
      <c r="M174" s="195"/>
      <c r="N174" s="196"/>
      <c r="O174" s="20">
        <f>I174-J174-K174</f>
        <v>0</v>
      </c>
      <c r="P174" s="21" t="e">
        <f t="shared" si="90"/>
        <v>#DIV/0!</v>
      </c>
      <c r="Q174" s="321"/>
      <c r="R174" s="32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33" hidden="1" customHeight="1" x14ac:dyDescent="0.25">
      <c r="A175" s="194" t="s">
        <v>27</v>
      </c>
      <c r="B175" s="112" t="s">
        <v>9</v>
      </c>
      <c r="C175" s="112" t="s">
        <v>12</v>
      </c>
      <c r="D175" s="112" t="s">
        <v>12</v>
      </c>
      <c r="E175" s="112" t="s">
        <v>149</v>
      </c>
      <c r="F175" s="112" t="s">
        <v>63</v>
      </c>
      <c r="G175" s="112" t="s">
        <v>28</v>
      </c>
      <c r="H175" s="129"/>
      <c r="I175" s="116"/>
      <c r="J175" s="117"/>
      <c r="K175" s="130">
        <f>I175-J175</f>
        <v>0</v>
      </c>
      <c r="L175" s="131"/>
      <c r="M175" s="184"/>
      <c r="N175" s="185"/>
      <c r="O175" s="132"/>
      <c r="P175" s="133"/>
      <c r="Q175" s="325"/>
      <c r="R175" s="326"/>
    </row>
    <row r="176" spans="1:50" s="2" customFormat="1" ht="27.75" hidden="1" customHeight="1" x14ac:dyDescent="0.25">
      <c r="A176" s="175" t="s">
        <v>31</v>
      </c>
      <c r="B176" s="112" t="s">
        <v>9</v>
      </c>
      <c r="C176" s="112" t="s">
        <v>12</v>
      </c>
      <c r="D176" s="112" t="s">
        <v>12</v>
      </c>
      <c r="E176" s="112" t="s">
        <v>149</v>
      </c>
      <c r="F176" s="112" t="s">
        <v>63</v>
      </c>
      <c r="G176" s="112" t="s">
        <v>32</v>
      </c>
      <c r="H176" s="112"/>
      <c r="I176" s="116"/>
      <c r="J176" s="117"/>
      <c r="K176" s="116">
        <f>I176-J176</f>
        <v>0</v>
      </c>
      <c r="L176" s="131"/>
      <c r="M176" s="182"/>
      <c r="N176" s="183"/>
      <c r="O176" s="119">
        <f t="shared" ref="O176" si="91">I176-J176-K176</f>
        <v>0</v>
      </c>
      <c r="P176" s="120" t="e">
        <f t="shared" ref="P176:P182" si="92">J176/I176*100</f>
        <v>#DIV/0!</v>
      </c>
      <c r="Q176" s="323"/>
      <c r="R176" s="32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60" customHeight="1" x14ac:dyDescent="0.25">
      <c r="A177" s="199" t="s">
        <v>156</v>
      </c>
      <c r="B177" s="104" t="s">
        <v>9</v>
      </c>
      <c r="C177" s="104" t="s">
        <v>12</v>
      </c>
      <c r="D177" s="104" t="s">
        <v>14</v>
      </c>
      <c r="E177" s="104" t="s">
        <v>157</v>
      </c>
      <c r="F177" s="104"/>
      <c r="G177" s="104"/>
      <c r="H177" s="104"/>
      <c r="I177" s="106">
        <f>I178+I179</f>
        <v>6358968</v>
      </c>
      <c r="J177" s="106">
        <f>J179+J178</f>
        <v>3843330.21</v>
      </c>
      <c r="K177" s="106">
        <f>K179+K178</f>
        <v>2515637.79</v>
      </c>
      <c r="L177" s="115"/>
      <c r="M177" s="195"/>
      <c r="N177" s="196"/>
      <c r="O177" s="20">
        <f>I177-J177-K177</f>
        <v>0</v>
      </c>
      <c r="P177" s="21">
        <f t="shared" si="92"/>
        <v>60.439527451624222</v>
      </c>
      <c r="Q177" s="321"/>
      <c r="R177" s="32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33" customHeight="1" x14ac:dyDescent="0.25">
      <c r="A178" s="194" t="s">
        <v>27</v>
      </c>
      <c r="B178" s="112" t="s">
        <v>9</v>
      </c>
      <c r="C178" s="112" t="s">
        <v>12</v>
      </c>
      <c r="D178" s="112" t="s">
        <v>14</v>
      </c>
      <c r="E178" s="112" t="s">
        <v>157</v>
      </c>
      <c r="F178" s="112" t="s">
        <v>63</v>
      </c>
      <c r="G178" s="112" t="s">
        <v>28</v>
      </c>
      <c r="H178" s="129"/>
      <c r="I178" s="116">
        <v>4884000</v>
      </c>
      <c r="J178" s="117">
        <v>2952055.52</v>
      </c>
      <c r="K178" s="116">
        <f>I178-J178</f>
        <v>1931944.48</v>
      </c>
      <c r="L178" s="131"/>
      <c r="M178" s="184"/>
      <c r="N178" s="185"/>
      <c r="O178" s="119">
        <f t="shared" ref="O178:O179" si="93">I178-J178-K178</f>
        <v>0</v>
      </c>
      <c r="P178" s="120">
        <f t="shared" si="92"/>
        <v>60.443397215397219</v>
      </c>
      <c r="Q178" s="325"/>
      <c r="R178" s="326"/>
    </row>
    <row r="179" spans="1:50" s="2" customFormat="1" ht="27.75" customHeight="1" x14ac:dyDescent="0.25">
      <c r="A179" s="175" t="s">
        <v>31</v>
      </c>
      <c r="B179" s="112" t="s">
        <v>9</v>
      </c>
      <c r="C179" s="112" t="s">
        <v>12</v>
      </c>
      <c r="D179" s="112" t="s">
        <v>14</v>
      </c>
      <c r="E179" s="112" t="s">
        <v>157</v>
      </c>
      <c r="F179" s="112" t="s">
        <v>63</v>
      </c>
      <c r="G179" s="112" t="s">
        <v>32</v>
      </c>
      <c r="H179" s="112"/>
      <c r="I179" s="116">
        <v>1474968</v>
      </c>
      <c r="J179" s="117">
        <v>891274.69</v>
      </c>
      <c r="K179" s="116">
        <f>I179-J179</f>
        <v>583693.31000000006</v>
      </c>
      <c r="L179" s="131"/>
      <c r="M179" s="182"/>
      <c r="N179" s="183"/>
      <c r="O179" s="119">
        <f t="shared" si="93"/>
        <v>0</v>
      </c>
      <c r="P179" s="120">
        <f t="shared" si="92"/>
        <v>60.426713664296436</v>
      </c>
      <c r="Q179" s="323"/>
      <c r="R179" s="32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s="2" customFormat="1" ht="60" customHeight="1" x14ac:dyDescent="0.25">
      <c r="A180" s="199" t="s">
        <v>156</v>
      </c>
      <c r="B180" s="104" t="s">
        <v>9</v>
      </c>
      <c r="C180" s="104" t="s">
        <v>12</v>
      </c>
      <c r="D180" s="104" t="s">
        <v>14</v>
      </c>
      <c r="E180" s="104" t="s">
        <v>158</v>
      </c>
      <c r="F180" s="104"/>
      <c r="G180" s="104"/>
      <c r="H180" s="104"/>
      <c r="I180" s="106">
        <f>I181+I182</f>
        <v>289044</v>
      </c>
      <c r="J180" s="106">
        <f>J182+J181</f>
        <v>171853.16</v>
      </c>
      <c r="K180" s="106">
        <f>K182+K181</f>
        <v>117190.84</v>
      </c>
      <c r="L180" s="115"/>
      <c r="M180" s="195"/>
      <c r="N180" s="196"/>
      <c r="O180" s="20">
        <f>I180-J180-K180</f>
        <v>0</v>
      </c>
      <c r="P180" s="21">
        <f t="shared" si="92"/>
        <v>59.45570916538658</v>
      </c>
      <c r="Q180" s="321"/>
      <c r="R180" s="32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33" customHeight="1" x14ac:dyDescent="0.25">
      <c r="A181" s="194" t="s">
        <v>27</v>
      </c>
      <c r="B181" s="112" t="s">
        <v>9</v>
      </c>
      <c r="C181" s="112" t="s">
        <v>12</v>
      </c>
      <c r="D181" s="112" t="s">
        <v>14</v>
      </c>
      <c r="E181" s="112" t="s">
        <v>158</v>
      </c>
      <c r="F181" s="112" t="s">
        <v>63</v>
      </c>
      <c r="G181" s="112" t="s">
        <v>28</v>
      </c>
      <c r="H181" s="129"/>
      <c r="I181" s="116">
        <v>222000</v>
      </c>
      <c r="J181" s="117">
        <v>132000.28</v>
      </c>
      <c r="K181" s="116">
        <f>I181-J181</f>
        <v>89999.72</v>
      </c>
      <c r="L181" s="131"/>
      <c r="M181" s="184"/>
      <c r="N181" s="185"/>
      <c r="O181" s="119">
        <f t="shared" ref="O181:O182" si="94">I181-J181-K181</f>
        <v>0</v>
      </c>
      <c r="P181" s="120">
        <f t="shared" si="92"/>
        <v>59.459585585585586</v>
      </c>
      <c r="Q181" s="325"/>
      <c r="R181" s="326"/>
    </row>
    <row r="182" spans="1:50" s="2" customFormat="1" ht="27.75" customHeight="1" x14ac:dyDescent="0.25">
      <c r="A182" s="175" t="s">
        <v>31</v>
      </c>
      <c r="B182" s="112" t="s">
        <v>9</v>
      </c>
      <c r="C182" s="112" t="s">
        <v>12</v>
      </c>
      <c r="D182" s="112" t="s">
        <v>14</v>
      </c>
      <c r="E182" s="112" t="s">
        <v>158</v>
      </c>
      <c r="F182" s="112" t="s">
        <v>63</v>
      </c>
      <c r="G182" s="112" t="s">
        <v>32</v>
      </c>
      <c r="H182" s="112"/>
      <c r="I182" s="116">
        <v>67044</v>
      </c>
      <c r="J182" s="117">
        <v>39852.879999999997</v>
      </c>
      <c r="K182" s="116">
        <f>I182-J182</f>
        <v>27191.120000000003</v>
      </c>
      <c r="L182" s="131"/>
      <c r="M182" s="182"/>
      <c r="N182" s="183"/>
      <c r="O182" s="119">
        <f t="shared" si="94"/>
        <v>0</v>
      </c>
      <c r="P182" s="120">
        <f t="shared" si="92"/>
        <v>59.442873336913074</v>
      </c>
      <c r="Q182" s="323"/>
      <c r="R182" s="32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9.5" customHeight="1" x14ac:dyDescent="0.25">
      <c r="A183" s="327" t="s">
        <v>80</v>
      </c>
      <c r="B183" s="328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9"/>
      <c r="Q183" s="330"/>
      <c r="R183" s="330"/>
    </row>
    <row r="184" spans="1:50" s="15" customFormat="1" ht="72.75" customHeight="1" x14ac:dyDescent="0.25">
      <c r="A184" s="202" t="s">
        <v>120</v>
      </c>
      <c r="B184" s="16" t="s">
        <v>81</v>
      </c>
      <c r="C184" s="16" t="s">
        <v>82</v>
      </c>
      <c r="D184" s="16" t="s">
        <v>82</v>
      </c>
      <c r="E184" s="16" t="s">
        <v>83</v>
      </c>
      <c r="F184" s="16" t="s">
        <v>81</v>
      </c>
      <c r="G184" s="16"/>
      <c r="H184" s="16"/>
      <c r="I184" s="17">
        <f>I185</f>
        <v>4268106.4000000004</v>
      </c>
      <c r="J184" s="17">
        <f>J185</f>
        <v>1763204.12</v>
      </c>
      <c r="K184" s="17">
        <f>I184-J184</f>
        <v>2504902.2800000003</v>
      </c>
      <c r="L184" s="17">
        <f t="shared" ref="L184:N184" si="95">L185</f>
        <v>0</v>
      </c>
      <c r="M184" s="17">
        <f t="shared" si="95"/>
        <v>0</v>
      </c>
      <c r="N184" s="17">
        <f t="shared" si="95"/>
        <v>0</v>
      </c>
      <c r="O184" s="20">
        <f t="shared" ref="O184:O185" si="96">I184-J184-K184</f>
        <v>0</v>
      </c>
      <c r="P184" s="21">
        <f>J184/I184*100</f>
        <v>41.311156629084969</v>
      </c>
      <c r="Q184" s="331"/>
      <c r="R184" s="331"/>
      <c r="S184" s="1"/>
      <c r="T184" s="1"/>
      <c r="U184" s="1"/>
      <c r="V184" s="1"/>
      <c r="W184" s="1"/>
      <c r="X184" s="1"/>
      <c r="Y184" s="1"/>
    </row>
    <row r="185" spans="1:50" s="15" customFormat="1" ht="18.75" customHeight="1" x14ac:dyDescent="0.25">
      <c r="A185" s="32" t="s">
        <v>113</v>
      </c>
      <c r="B185" s="22" t="s">
        <v>81</v>
      </c>
      <c r="C185" s="22" t="s">
        <v>82</v>
      </c>
      <c r="D185" s="22" t="s">
        <v>82</v>
      </c>
      <c r="E185" s="22" t="s">
        <v>83</v>
      </c>
      <c r="F185" s="22" t="s">
        <v>81</v>
      </c>
      <c r="G185" s="22" t="s">
        <v>114</v>
      </c>
      <c r="H185" s="22"/>
      <c r="I185" s="23">
        <v>4268106.4000000004</v>
      </c>
      <c r="J185" s="23">
        <v>1763204.12</v>
      </c>
      <c r="K185" s="23">
        <f>I185-J185</f>
        <v>2504902.2800000003</v>
      </c>
      <c r="L185" s="38"/>
      <c r="M185" s="29"/>
      <c r="N185" s="1"/>
      <c r="O185" s="25">
        <f t="shared" si="96"/>
        <v>0</v>
      </c>
      <c r="P185" s="26">
        <f>J185/I185*100</f>
        <v>41.311156629084969</v>
      </c>
      <c r="Q185" s="331"/>
      <c r="R185" s="331"/>
      <c r="S185" s="1"/>
      <c r="T185" s="1"/>
      <c r="U185" s="1"/>
      <c r="V185" s="1"/>
      <c r="W185" s="1"/>
      <c r="X185" s="1"/>
      <c r="Y185" s="1"/>
    </row>
    <row r="186" spans="1:50" ht="0.75" customHeight="1" x14ac:dyDescent="0.25">
      <c r="A186" s="70"/>
      <c r="B186" s="70"/>
      <c r="C186" s="70"/>
      <c r="D186" s="70"/>
      <c r="E186" s="70"/>
      <c r="F186" s="70"/>
      <c r="G186" s="70"/>
      <c r="H186" s="71"/>
      <c r="I186" s="126"/>
      <c r="J186" s="127"/>
      <c r="K186" s="72"/>
      <c r="L186" s="1"/>
      <c r="M186" s="1"/>
    </row>
    <row r="187" spans="1:50" ht="19.5" customHeight="1" x14ac:dyDescent="0.25">
      <c r="A187" s="327" t="s">
        <v>186</v>
      </c>
      <c r="B187" s="328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9"/>
      <c r="Q187" s="330"/>
      <c r="R187" s="330"/>
    </row>
    <row r="188" spans="1:50" s="15" customFormat="1" ht="76.5" customHeight="1" x14ac:dyDescent="0.25">
      <c r="A188" s="202"/>
      <c r="B188" s="16" t="s">
        <v>81</v>
      </c>
      <c r="C188" s="16" t="s">
        <v>82</v>
      </c>
      <c r="D188" s="16" t="s">
        <v>82</v>
      </c>
      <c r="E188" s="16" t="s">
        <v>83</v>
      </c>
      <c r="F188" s="16" t="s">
        <v>81</v>
      </c>
      <c r="G188" s="16"/>
      <c r="H188" s="16"/>
      <c r="I188" s="17">
        <f>I189</f>
        <v>1250000</v>
      </c>
      <c r="J188" s="17">
        <f>J189</f>
        <v>0</v>
      </c>
      <c r="K188" s="17">
        <f>I188-J188</f>
        <v>1250000</v>
      </c>
      <c r="L188" s="17">
        <f t="shared" ref="L188:N188" si="97">L189</f>
        <v>0</v>
      </c>
      <c r="M188" s="17">
        <f t="shared" si="97"/>
        <v>0</v>
      </c>
      <c r="N188" s="17">
        <f t="shared" si="97"/>
        <v>0</v>
      </c>
      <c r="O188" s="20">
        <f t="shared" ref="O188:O189" si="98">I188-J188-K188</f>
        <v>0</v>
      </c>
      <c r="P188" s="21">
        <f>J188/I188*100</f>
        <v>0</v>
      </c>
      <c r="Q188" s="331"/>
      <c r="R188" s="331"/>
      <c r="S188" s="1"/>
      <c r="T188" s="1"/>
      <c r="U188" s="1"/>
      <c r="V188" s="1"/>
      <c r="W188" s="1"/>
      <c r="X188" s="1"/>
      <c r="Y188" s="1"/>
    </row>
    <row r="189" spans="1:50" s="15" customFormat="1" ht="18.75" customHeight="1" x14ac:dyDescent="0.25">
      <c r="A189" s="32" t="s">
        <v>113</v>
      </c>
      <c r="B189" s="22" t="s">
        <v>81</v>
      </c>
      <c r="C189" s="22" t="s">
        <v>82</v>
      </c>
      <c r="D189" s="22" t="s">
        <v>82</v>
      </c>
      <c r="E189" s="22" t="s">
        <v>83</v>
      </c>
      <c r="F189" s="22" t="s">
        <v>81</v>
      </c>
      <c r="G189" s="22" t="s">
        <v>48</v>
      </c>
      <c r="H189" s="22"/>
      <c r="I189" s="23">
        <v>1250000</v>
      </c>
      <c r="J189" s="23">
        <v>0</v>
      </c>
      <c r="K189" s="23">
        <f>I189-J189</f>
        <v>1250000</v>
      </c>
      <c r="L189" s="38"/>
      <c r="M189" s="29"/>
      <c r="N189" s="1"/>
      <c r="O189" s="25">
        <f t="shared" si="98"/>
        <v>0</v>
      </c>
      <c r="P189" s="26">
        <f>J189/I189*100</f>
        <v>0</v>
      </c>
      <c r="Q189" s="331"/>
      <c r="R189" s="331"/>
      <c r="S189" s="1"/>
      <c r="T189" s="1"/>
      <c r="U189" s="1"/>
      <c r="V189" s="1"/>
      <c r="W189" s="1"/>
      <c r="X189" s="1"/>
      <c r="Y189" s="1"/>
    </row>
    <row r="190" spans="1:50" ht="27.75" customHeight="1" x14ac:dyDescent="0.25">
      <c r="A190" s="77"/>
      <c r="B190" s="78"/>
      <c r="C190" s="78"/>
      <c r="D190" s="78"/>
      <c r="E190" s="78"/>
      <c r="F190" s="78"/>
      <c r="G190" s="1"/>
      <c r="H190" s="1"/>
      <c r="I190" s="1"/>
      <c r="J190" s="1"/>
      <c r="K190" s="1"/>
      <c r="L190" s="73"/>
      <c r="M190" s="74"/>
      <c r="N190" s="75"/>
      <c r="O190" s="75"/>
      <c r="P190" s="75"/>
    </row>
    <row r="191" spans="1:50" ht="40.5" customHeight="1" x14ac:dyDescent="0.25">
      <c r="A191" s="379" t="s">
        <v>181</v>
      </c>
      <c r="B191" s="379"/>
      <c r="C191" s="379"/>
      <c r="D191" s="379"/>
      <c r="E191" s="379"/>
      <c r="F191" s="379"/>
      <c r="G191" s="379"/>
      <c r="H191" s="80"/>
      <c r="I191" s="1"/>
      <c r="J191" s="1"/>
      <c r="K191" s="1"/>
      <c r="L191" s="73"/>
      <c r="M191" s="74"/>
      <c r="N191" s="75"/>
      <c r="O191" s="75"/>
      <c r="P191" s="75"/>
    </row>
    <row r="192" spans="1:50" ht="15" customHeight="1" x14ac:dyDescent="0.25">
      <c r="A192" s="379" t="s">
        <v>177</v>
      </c>
      <c r="B192" s="379"/>
      <c r="C192" s="379"/>
      <c r="D192" s="379"/>
      <c r="E192" s="379"/>
      <c r="F192" s="379"/>
      <c r="G192" s="379"/>
      <c r="H192" s="80"/>
      <c r="I192" s="1"/>
      <c r="J192" s="1"/>
      <c r="K192" s="1"/>
      <c r="L192" s="73"/>
      <c r="M192" s="74"/>
      <c r="N192" s="75"/>
      <c r="O192" s="75"/>
      <c r="P192" s="75"/>
    </row>
    <row r="193" spans="1:16" ht="18.75" x14ac:dyDescent="0.25">
      <c r="A193" s="83"/>
      <c r="B193" s="84"/>
      <c r="C193" s="84"/>
      <c r="D193" s="84"/>
      <c r="E193" s="84"/>
      <c r="F193" s="84"/>
      <c r="G193" s="1"/>
      <c r="H193" s="1"/>
      <c r="I193" s="1"/>
      <c r="J193" s="1"/>
      <c r="K193" s="1"/>
      <c r="L193" s="73"/>
      <c r="M193" s="74"/>
      <c r="N193" s="75"/>
      <c r="O193" s="75"/>
      <c r="P193" s="75"/>
    </row>
    <row r="194" spans="1:16" x14ac:dyDescent="0.25">
      <c r="A194" s="1"/>
      <c r="B194" s="1"/>
      <c r="C194" s="1"/>
      <c r="D194" s="1"/>
      <c r="E194" s="1"/>
      <c r="F194" s="1"/>
      <c r="L194" s="73"/>
      <c r="M194" s="74"/>
      <c r="N194" s="75"/>
      <c r="O194" s="75"/>
      <c r="P194" s="75"/>
    </row>
    <row r="195" spans="1:16" x14ac:dyDescent="0.25">
      <c r="A195" s="1"/>
      <c r="B195" s="1"/>
      <c r="C195" s="1"/>
      <c r="D195" s="1"/>
      <c r="E195" s="1"/>
      <c r="F195" s="1"/>
      <c r="L195" s="73"/>
      <c r="M195" s="74"/>
      <c r="N195" s="75"/>
      <c r="O195" s="75"/>
      <c r="P195" s="75"/>
    </row>
    <row r="196" spans="1:16" x14ac:dyDescent="0.25">
      <c r="A196" s="1"/>
      <c r="B196" s="1"/>
      <c r="C196" s="1"/>
      <c r="D196" s="1"/>
      <c r="E196" s="1"/>
      <c r="F196" s="1"/>
      <c r="J196" s="246">
        <f>SUM(J189+J185+J182+J181+J179+J178+J166+J158+J156+J154+J149+J145+J144+J142+J133+J128+J127+J126+J125+J124+J123+J121+J120+J118+J117+J115+J114+J112+J110++J105+J104+J102+J101+J96+J95+J93+J92++J90+J89+J87+J85+J84+J82+J81+J80+J70+J68+J67+J66+J65+J64+J63+J55+J54+J52+J51+J49+J47+J45+J44+J43+J42+J40+J39+J38+J37+J36+J35+J34+J33+J31+J30+J29+J28+J27+J26+J25+J24+J23+J21+J20+J19+J17+J16)</f>
        <v>72798957.289999992</v>
      </c>
      <c r="L196" s="73"/>
      <c r="M196" s="74"/>
      <c r="N196" s="75"/>
      <c r="O196" s="75"/>
      <c r="P196" s="75"/>
    </row>
    <row r="197" spans="1:16" x14ac:dyDescent="0.25">
      <c r="A197" s="1"/>
      <c r="B197" s="1"/>
      <c r="C197" s="1"/>
      <c r="D197" s="1"/>
      <c r="E197" s="1"/>
      <c r="F197" s="1"/>
      <c r="J197" s="128">
        <v>72798957.299999997</v>
      </c>
    </row>
    <row r="198" spans="1:16" x14ac:dyDescent="0.25">
      <c r="A198" s="1"/>
      <c r="B198" s="1"/>
      <c r="C198" s="1"/>
      <c r="D198" s="1"/>
      <c r="E198" s="1"/>
      <c r="F198" s="1"/>
      <c r="J198" s="246">
        <f>J197-J196</f>
        <v>1.000000536441803E-2</v>
      </c>
      <c r="L198" s="1"/>
      <c r="M198" s="1"/>
    </row>
    <row r="199" spans="1:16" x14ac:dyDescent="0.25">
      <c r="A199" s="1"/>
      <c r="B199" s="1"/>
      <c r="C199" s="1"/>
      <c r="D199" s="1"/>
      <c r="E199" s="1"/>
      <c r="F199" s="1"/>
      <c r="L199" s="1"/>
      <c r="M199" s="1"/>
    </row>
    <row r="200" spans="1:16" x14ac:dyDescent="0.25">
      <c r="A200" s="1"/>
      <c r="B200" s="1"/>
      <c r="C200" s="1"/>
      <c r="D200" s="1"/>
      <c r="E200" s="1"/>
      <c r="F200" s="1"/>
      <c r="L200" s="1"/>
      <c r="M200" s="1"/>
    </row>
    <row r="201" spans="1:16" x14ac:dyDescent="0.25">
      <c r="A201" s="1"/>
      <c r="B201" s="1"/>
      <c r="C201" s="1"/>
      <c r="D201" s="1"/>
      <c r="E201" s="1"/>
      <c r="F201" s="1"/>
      <c r="L201" s="1"/>
      <c r="M201" s="1"/>
    </row>
    <row r="202" spans="1:16" x14ac:dyDescent="0.25">
      <c r="A202" s="1"/>
      <c r="B202" s="1"/>
      <c r="C202" s="1"/>
      <c r="D202" s="1"/>
      <c r="E202" s="1"/>
      <c r="F202" s="1"/>
    </row>
    <row r="203" spans="1:16" x14ac:dyDescent="0.25">
      <c r="A203" s="1"/>
      <c r="B203" s="1"/>
      <c r="C203" s="1"/>
      <c r="D203" s="1"/>
      <c r="E203" s="1"/>
      <c r="F203" s="1"/>
    </row>
    <row r="204" spans="1:16" x14ac:dyDescent="0.25">
      <c r="A204" s="1"/>
      <c r="B204" s="1"/>
      <c r="C204" s="1"/>
      <c r="D204" s="1"/>
      <c r="E204" s="1"/>
      <c r="F204" s="1"/>
    </row>
    <row r="205" spans="1:16" x14ac:dyDescent="0.25">
      <c r="A205" s="1"/>
      <c r="B205" s="1"/>
      <c r="C205" s="1"/>
      <c r="D205" s="1"/>
      <c r="E205" s="1"/>
      <c r="F205" s="1"/>
    </row>
    <row r="206" spans="1:16" x14ac:dyDescent="0.25">
      <c r="A206" s="1"/>
      <c r="B206" s="1"/>
      <c r="C206" s="1"/>
      <c r="D206" s="1"/>
      <c r="E206" s="1"/>
      <c r="F206" s="1"/>
    </row>
    <row r="207" spans="1:16" x14ac:dyDescent="0.25">
      <c r="A207" s="1"/>
      <c r="B207" s="1"/>
      <c r="C207" s="1"/>
      <c r="D207" s="1"/>
      <c r="E207" s="1"/>
      <c r="F207" s="1"/>
    </row>
    <row r="208" spans="1:16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s="68" customFormat="1" x14ac:dyDescent="0.25">
      <c r="A213" s="1"/>
      <c r="B213" s="1"/>
      <c r="C213" s="1"/>
      <c r="D213" s="1"/>
      <c r="E213" s="1"/>
      <c r="F213" s="1"/>
      <c r="I213" s="128"/>
      <c r="J213" s="128"/>
      <c r="K213" s="76"/>
      <c r="L213" s="76"/>
      <c r="M213" s="2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68" customFormat="1" x14ac:dyDescent="0.25">
      <c r="A214" s="85"/>
      <c r="I214" s="128"/>
      <c r="J214" s="128"/>
      <c r="K214" s="76"/>
      <c r="L214" s="76"/>
      <c r="M214" s="2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68" customFormat="1" x14ac:dyDescent="0.25">
      <c r="A215" s="85"/>
      <c r="I215" s="128"/>
      <c r="J215" s="128"/>
      <c r="K215" s="76"/>
      <c r="L215" s="76"/>
      <c r="M215" s="2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68" customFormat="1" x14ac:dyDescent="0.25">
      <c r="A216" s="85"/>
      <c r="I216" s="128"/>
      <c r="J216" s="128"/>
      <c r="K216" s="76"/>
      <c r="L216" s="76"/>
      <c r="M216" s="2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s="68" customFormat="1" x14ac:dyDescent="0.25">
      <c r="A217" s="85"/>
      <c r="I217" s="128"/>
      <c r="J217" s="128"/>
      <c r="K217" s="76"/>
      <c r="L217" s="76"/>
      <c r="M217" s="2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68" customFormat="1" x14ac:dyDescent="0.25">
      <c r="A218" s="85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8" customFormat="1" x14ac:dyDescent="0.25">
      <c r="A219" s="85"/>
      <c r="I219" s="128"/>
      <c r="J219" s="128"/>
      <c r="K219" s="76"/>
      <c r="L219" s="76"/>
      <c r="M219" s="2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8" customFormat="1" x14ac:dyDescent="0.25">
      <c r="A220" s="85"/>
      <c r="I220" s="128"/>
      <c r="J220" s="128"/>
      <c r="K220" s="76"/>
      <c r="L220" s="76"/>
      <c r="M220" s="2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8" customFormat="1" x14ac:dyDescent="0.25">
      <c r="A221" s="85"/>
      <c r="I221" s="128"/>
      <c r="J221" s="128"/>
      <c r="K221" s="76"/>
      <c r="L221" s="76"/>
      <c r="M221" s="2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</sheetData>
  <mergeCells count="177">
    <mergeCell ref="O3:O4"/>
    <mergeCell ref="P3:P4"/>
    <mergeCell ref="Q3:R4"/>
    <mergeCell ref="Q5:R5"/>
    <mergeCell ref="Q6:R6"/>
    <mergeCell ref="A7:P7"/>
    <mergeCell ref="Q7:R7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14:R14"/>
    <mergeCell ref="Q15:R15"/>
    <mergeCell ref="Q16:R16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39:R39"/>
    <mergeCell ref="Q40:R40"/>
    <mergeCell ref="Q41:R41"/>
    <mergeCell ref="Q42:R42"/>
    <mergeCell ref="Q43:R43"/>
    <mergeCell ref="Q44:R44"/>
    <mergeCell ref="Q32:R32"/>
    <mergeCell ref="Q33:R33"/>
    <mergeCell ref="Q34:R34"/>
    <mergeCell ref="Q35:R35"/>
    <mergeCell ref="Q37:R37"/>
    <mergeCell ref="Q38:R38"/>
    <mergeCell ref="A71:P71"/>
    <mergeCell ref="Q71:R71"/>
    <mergeCell ref="Q51:R51"/>
    <mergeCell ref="Q52:R52"/>
    <mergeCell ref="Q53:R53"/>
    <mergeCell ref="Q54:R54"/>
    <mergeCell ref="Q55:R55"/>
    <mergeCell ref="Q56:R56"/>
    <mergeCell ref="Q45:R45"/>
    <mergeCell ref="Q46:R46"/>
    <mergeCell ref="Q47:R47"/>
    <mergeCell ref="Q48:R48"/>
    <mergeCell ref="Q49:R49"/>
    <mergeCell ref="Q50:R50"/>
    <mergeCell ref="Q72:R72"/>
    <mergeCell ref="Q73:R73"/>
    <mergeCell ref="Q74:R74"/>
    <mergeCell ref="Q75:R75"/>
    <mergeCell ref="Q76:R76"/>
    <mergeCell ref="Q77:R77"/>
    <mergeCell ref="Q57:R57"/>
    <mergeCell ref="Q58:R58"/>
    <mergeCell ref="Q59:R59"/>
    <mergeCell ref="Q60:R60"/>
    <mergeCell ref="Q61:R70"/>
    <mergeCell ref="Q84:R84"/>
    <mergeCell ref="Q85:R85"/>
    <mergeCell ref="Q86:R86"/>
    <mergeCell ref="Q87:R87"/>
    <mergeCell ref="Q88:R88"/>
    <mergeCell ref="Q89:R89"/>
    <mergeCell ref="Q78:R78"/>
    <mergeCell ref="Q79:R79"/>
    <mergeCell ref="Q80:R80"/>
    <mergeCell ref="Q81:R81"/>
    <mergeCell ref="Q82:R82"/>
    <mergeCell ref="Q83:R83"/>
    <mergeCell ref="A106:P106"/>
    <mergeCell ref="Q106:R106"/>
    <mergeCell ref="Q96:R96"/>
    <mergeCell ref="Q97:R97"/>
    <mergeCell ref="Q98:R98"/>
    <mergeCell ref="Q99:R99"/>
    <mergeCell ref="Q100:R100"/>
    <mergeCell ref="Q101:R101"/>
    <mergeCell ref="Q90:R90"/>
    <mergeCell ref="Q91:R91"/>
    <mergeCell ref="Q92:R92"/>
    <mergeCell ref="Q93:R93"/>
    <mergeCell ref="Q94:R94"/>
    <mergeCell ref="Q95:R95"/>
    <mergeCell ref="Q107:R107"/>
    <mergeCell ref="Q108:R108"/>
    <mergeCell ref="Q109:R109"/>
    <mergeCell ref="Q110:R110"/>
    <mergeCell ref="Q111:R111"/>
    <mergeCell ref="Q112:R112"/>
    <mergeCell ref="Q102:R102"/>
    <mergeCell ref="Q103:R103"/>
    <mergeCell ref="Q104:R104"/>
    <mergeCell ref="Q105:R105"/>
    <mergeCell ref="Q119:R119"/>
    <mergeCell ref="Q120:R120"/>
    <mergeCell ref="Q121:R121"/>
    <mergeCell ref="Q122:R122"/>
    <mergeCell ref="Q123:R123"/>
    <mergeCell ref="Q124:R124"/>
    <mergeCell ref="Q113:R113"/>
    <mergeCell ref="Q114:R114"/>
    <mergeCell ref="Q115:R115"/>
    <mergeCell ref="Q116:R116"/>
    <mergeCell ref="Q117:R117"/>
    <mergeCell ref="Q118:R118"/>
    <mergeCell ref="Q136:R137"/>
    <mergeCell ref="Q139:R140"/>
    <mergeCell ref="Q141:R141"/>
    <mergeCell ref="Q142:R142"/>
    <mergeCell ref="Q143:R145"/>
    <mergeCell ref="Q146:R147"/>
    <mergeCell ref="Q125:R125"/>
    <mergeCell ref="Q127:R127"/>
    <mergeCell ref="Q128:R128"/>
    <mergeCell ref="Q129:R131"/>
    <mergeCell ref="Q132:R133"/>
    <mergeCell ref="Q134:R135"/>
    <mergeCell ref="Q154:R154"/>
    <mergeCell ref="Q155:R155"/>
    <mergeCell ref="Q156:R156"/>
    <mergeCell ref="Q157:R157"/>
    <mergeCell ref="Q158:R158"/>
    <mergeCell ref="Q159:R159"/>
    <mergeCell ref="Q148:R149"/>
    <mergeCell ref="A150:P150"/>
    <mergeCell ref="Q150:R150"/>
    <mergeCell ref="Q151:R151"/>
    <mergeCell ref="Q152:R152"/>
    <mergeCell ref="Q153:R153"/>
    <mergeCell ref="Q166:R166"/>
    <mergeCell ref="Q167:R167"/>
    <mergeCell ref="Q168:R168"/>
    <mergeCell ref="Q169:R169"/>
    <mergeCell ref="Q170:R170"/>
    <mergeCell ref="Q171:R171"/>
    <mergeCell ref="Q160:R160"/>
    <mergeCell ref="Q161:R161"/>
    <mergeCell ref="Q162:R162"/>
    <mergeCell ref="Q163:R163"/>
    <mergeCell ref="Q164:R164"/>
    <mergeCell ref="Q165:R165"/>
    <mergeCell ref="A191:G191"/>
    <mergeCell ref="A192:G192"/>
    <mergeCell ref="Q184:R184"/>
    <mergeCell ref="Q185:R185"/>
    <mergeCell ref="A187:P187"/>
    <mergeCell ref="Q187:R187"/>
    <mergeCell ref="Q188:R188"/>
    <mergeCell ref="Q189:R189"/>
    <mergeCell ref="Q172:R172"/>
    <mergeCell ref="Q173:R173"/>
    <mergeCell ref="Q174:R176"/>
    <mergeCell ref="Q177:R179"/>
    <mergeCell ref="Q180:R182"/>
    <mergeCell ref="A183:P183"/>
    <mergeCell ref="Q183:R183"/>
  </mergeCells>
  <printOptions horizontalCentered="1"/>
  <pageMargins left="3.937007874015748E-2" right="3.937007874015748E-2" top="0.15748031496062992" bottom="0" header="0.11811023622047245" footer="0"/>
  <pageSetup paperSize="9" scale="53" fitToHeight="7" orientation="landscape" r:id="rId1"/>
  <rowBreaks count="2" manualBreakCount="2">
    <brk id="37" max="18" man="1"/>
    <brk id="63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25"/>
  <sheetViews>
    <sheetView showWhiteSpace="0" view="pageBreakPreview" zoomScale="70" zoomScaleNormal="75" zoomScaleSheetLayoutView="70" workbookViewId="0">
      <pane ySplit="5" topLeftCell="A180" activePane="bottomLeft" state="frozen"/>
      <selection pane="bottomLeft" activeCell="T12" sqref="T12:T13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9.140625" style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191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192</v>
      </c>
      <c r="K3" s="353" t="s">
        <v>6</v>
      </c>
      <c r="L3" s="169"/>
      <c r="M3" s="170"/>
      <c r="N3" s="169"/>
      <c r="O3" s="353" t="s">
        <v>7</v>
      </c>
      <c r="P3" s="355" t="s">
        <v>193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>I8+I74+I110+I154+I187+I191</f>
        <v>125716120.74000001</v>
      </c>
      <c r="J6" s="160">
        <f>J8+J74+J110+J154+J187+J191</f>
        <v>75541745.430000007</v>
      </c>
      <c r="K6" s="160">
        <f>K8+K74+K110+K154+K187+K191</f>
        <v>50108585.840000004</v>
      </c>
      <c r="L6" s="160" t="e">
        <f t="shared" ref="L6:N6" si="0">L8+L74+L110+L154+L187</f>
        <v>#REF!</v>
      </c>
      <c r="M6" s="160" t="e">
        <f t="shared" si="0"/>
        <v>#REF!</v>
      </c>
      <c r="N6" s="160" t="e">
        <f t="shared" si="0"/>
        <v>#REF!</v>
      </c>
      <c r="O6" s="160">
        <f>I6-J6-K6</f>
        <v>65789.469999998808</v>
      </c>
      <c r="P6" s="163">
        <f>J6/I6*100</f>
        <v>60.08914766486614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</f>
        <v>24541919.789999999</v>
      </c>
      <c r="J8" s="9">
        <f>J9+J61+J69</f>
        <v>14950708.189999998</v>
      </c>
      <c r="K8" s="9">
        <f>K9+K61+K69</f>
        <v>9525422.1300000027</v>
      </c>
      <c r="L8" s="9" t="e">
        <f>L9+L61+#REF!</f>
        <v>#REF!</v>
      </c>
      <c r="M8" s="9" t="e">
        <f>M9+M61+#REF!</f>
        <v>#REF!</v>
      </c>
      <c r="N8" s="9" t="e">
        <f>N9+N61+#REF!</f>
        <v>#REF!</v>
      </c>
      <c r="O8" s="11">
        <f>I8-J8-K8</f>
        <v>65789.469999998808</v>
      </c>
      <c r="P8" s="12">
        <f>J8/I8*100</f>
        <v>60.919065492553294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I10+I41+I46+I48+I50+I53+I59+I56+I61+I69+I71</f>
        <v>24541919.789999999</v>
      </c>
      <c r="J9" s="157">
        <f>J10+J41+J46+J48+J50+J53+J59+J56</f>
        <v>14712974.189999998</v>
      </c>
      <c r="K9" s="157">
        <f>K10+K41+K46+K48+K50+K53+K59+K56</f>
        <v>9525393.7100000028</v>
      </c>
      <c r="L9" s="14" t="e">
        <f>L10+L41+L46+L48+L50+L53+L59+L56+L61+L69+#REF!</f>
        <v>#REF!</v>
      </c>
      <c r="M9" s="14" t="e">
        <f>M10+M41+M46+M48+M50+M53+M59+M56+M61+M69+#REF!</f>
        <v>#REF!</v>
      </c>
      <c r="N9" s="14" t="e">
        <f>N10+N41+N46+N48+N50+N53+N59+N56+N61+N69+#REF!</f>
        <v>#REF!</v>
      </c>
      <c r="O9" s="95">
        <f>I9-J9-K9</f>
        <v>303551.88999999873</v>
      </c>
      <c r="P9" s="96">
        <f t="shared" ref="P9:P60" si="1">J9/I9*100</f>
        <v>59.950380067638541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>I11</f>
        <v>10840639.619999997</v>
      </c>
      <c r="J10" s="17">
        <f t="shared" ref="J10:N11" si="2">J11</f>
        <v>7120238.0199999986</v>
      </c>
      <c r="K10" s="17">
        <f t="shared" si="2"/>
        <v>3720401.6000000006</v>
      </c>
      <c r="L10" s="17" t="e">
        <f t="shared" si="2"/>
        <v>#REF!</v>
      </c>
      <c r="M10" s="17">
        <f t="shared" si="2"/>
        <v>0</v>
      </c>
      <c r="N10" s="17">
        <f t="shared" si="2"/>
        <v>0</v>
      </c>
      <c r="O10" s="20">
        <f t="shared" ref="O10:O12" si="3">I10-J10-K10</f>
        <v>0</v>
      </c>
      <c r="P10" s="21">
        <f t="shared" si="1"/>
        <v>65.68097704183252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10840639.619999997</v>
      </c>
      <c r="J11" s="28">
        <f t="shared" si="2"/>
        <v>7120238.0199999986</v>
      </c>
      <c r="K11" s="33">
        <f t="shared" si="2"/>
        <v>3720401.6000000006</v>
      </c>
      <c r="L11" s="33" t="e">
        <f t="shared" si="2"/>
        <v>#REF!</v>
      </c>
      <c r="M11" s="33">
        <f t="shared" si="2"/>
        <v>0</v>
      </c>
      <c r="N11" s="33">
        <f t="shared" si="2"/>
        <v>0</v>
      </c>
      <c r="O11" s="88">
        <f t="shared" si="3"/>
        <v>0</v>
      </c>
      <c r="P11" s="31">
        <f t="shared" si="1"/>
        <v>65.68097704183252</v>
      </c>
      <c r="Q11" s="352"/>
      <c r="R11" s="352"/>
      <c r="T11" s="278">
        <v>125716120.73999999</v>
      </c>
      <c r="U11" s="227"/>
      <c r="V11" s="277">
        <v>75541745.430000007</v>
      </c>
    </row>
    <row r="12" spans="1:50" ht="23.25" customHeight="1" x14ac:dyDescent="0.3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>I13</f>
        <v>10840639.619999997</v>
      </c>
      <c r="J12" s="35">
        <f>J13</f>
        <v>7120238.0199999986</v>
      </c>
      <c r="K12" s="35">
        <f>K13</f>
        <v>3720401.6000000006</v>
      </c>
      <c r="L12" s="87" t="e">
        <f>L13</f>
        <v>#REF!</v>
      </c>
      <c r="M12" s="176"/>
      <c r="N12" s="177"/>
      <c r="O12" s="88">
        <f t="shared" si="3"/>
        <v>0</v>
      </c>
      <c r="P12" s="154">
        <f t="shared" si="1"/>
        <v>65.68097704183252</v>
      </c>
      <c r="Q12" s="352"/>
      <c r="R12" s="352"/>
      <c r="T12" s="279">
        <v>44433</v>
      </c>
      <c r="V12" s="225">
        <f>V11-J6</f>
        <v>0</v>
      </c>
    </row>
    <row r="13" spans="1:50" ht="57" thickBot="1" x14ac:dyDescent="0.3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10840639.619999997</v>
      </c>
      <c r="J13" s="35">
        <f>J14+J32</f>
        <v>7120238.0199999986</v>
      </c>
      <c r="K13" s="35">
        <f>K14+K32+K28</f>
        <v>3720401.6000000006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154">
        <f t="shared" si="1"/>
        <v>65.68097704183252</v>
      </c>
      <c r="Q13" s="352"/>
      <c r="R13" s="352"/>
      <c r="T13" s="280">
        <v>125716120.73999999</v>
      </c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9340440.8499999978</v>
      </c>
      <c r="J14" s="28">
        <f>J15+J22+J27+J29+J30+J31+J21+J18+J28</f>
        <v>6193844.7999999989</v>
      </c>
      <c r="K14" s="28">
        <f t="shared" ref="K14:P14" si="4">K15+K22+K27+K29+K30+K31+K21+K18+K28</f>
        <v>3146596.0500000003</v>
      </c>
      <c r="L14" s="28" t="e">
        <f t="shared" si="4"/>
        <v>#REF!</v>
      </c>
      <c r="M14" s="28">
        <f t="shared" si="4"/>
        <v>567216.31000000029</v>
      </c>
      <c r="N14" s="28">
        <f t="shared" si="4"/>
        <v>-270878.69000000041</v>
      </c>
      <c r="O14" s="28">
        <f t="shared" si="4"/>
        <v>5.6843418860808015E-14</v>
      </c>
      <c r="P14" s="28" t="e">
        <f t="shared" si="4"/>
        <v>#DIV/0!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1677144.29</v>
      </c>
      <c r="K15" s="28">
        <f>K16+K17</f>
        <v>1246228.17</v>
      </c>
      <c r="L15" s="28">
        <f t="shared" ref="L15:N15" si="5">L16+L17+L18</f>
        <v>339315.56999999983</v>
      </c>
      <c r="M15" s="28">
        <f t="shared" si="5"/>
        <v>610194.26000000024</v>
      </c>
      <c r="N15" s="28">
        <f t="shared" si="5"/>
        <v>-270878.69000000041</v>
      </c>
      <c r="O15" s="28">
        <f>O16+O17</f>
        <v>0</v>
      </c>
      <c r="P15" s="155">
        <f>J15/I15*100</f>
        <v>57.370188470613151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1288825.3999999999</v>
      </c>
      <c r="K16" s="100">
        <f>I16-J16</f>
        <v>949509.83000000007</v>
      </c>
      <c r="L16" s="100">
        <f t="shared" ref="L16:N16" si="6">J16-K16</f>
        <v>339315.56999999983</v>
      </c>
      <c r="M16" s="100">
        <f t="shared" si="6"/>
        <v>610194.26000000024</v>
      </c>
      <c r="N16" s="100">
        <f t="shared" si="6"/>
        <v>-270878.69000000041</v>
      </c>
      <c r="O16" s="153">
        <f>I16-J16-K16</f>
        <v>0</v>
      </c>
      <c r="P16" s="154">
        <f t="shared" si="1"/>
        <v>57.579641455225627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388318.89</v>
      </c>
      <c r="K17" s="100">
        <f>I17-J17</f>
        <v>296718.33999999997</v>
      </c>
      <c r="L17" s="165"/>
      <c r="M17" s="176"/>
      <c r="N17" s="177"/>
      <c r="O17" s="153">
        <f t="shared" ref="O17:O21" si="7">I17-J17-K17</f>
        <v>0</v>
      </c>
      <c r="P17" s="154">
        <f t="shared" si="1"/>
        <v>56.685808156733316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45000</v>
      </c>
      <c r="J18" s="33">
        <f t="shared" ref="J18:O18" si="8">J19+J20</f>
        <v>25789</v>
      </c>
      <c r="K18" s="28">
        <f t="shared" si="8"/>
        <v>19211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155">
        <f t="shared" si="1"/>
        <v>57.308888888888887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1" si="9">I19-J19</f>
        <v>0</v>
      </c>
      <c r="L19" s="28"/>
      <c r="M19" s="28"/>
      <c r="N19" s="28"/>
      <c r="O19" s="35">
        <f t="shared" si="7"/>
        <v>0</v>
      </c>
      <c r="P19" s="154" t="e">
        <f t="shared" si="1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23">
        <v>45000</v>
      </c>
      <c r="J20" s="35">
        <v>25789</v>
      </c>
      <c r="K20" s="35">
        <f t="shared" si="9"/>
        <v>19211</v>
      </c>
      <c r="L20" s="28"/>
      <c r="M20" s="28"/>
      <c r="N20" s="28"/>
      <c r="O20" s="35">
        <f t="shared" si="7"/>
        <v>0</v>
      </c>
      <c r="P20" s="154">
        <f t="shared" si="1"/>
        <v>57.308888888888887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33">
        <v>30000</v>
      </c>
      <c r="J21" s="28">
        <v>11077.14</v>
      </c>
      <c r="K21" s="28">
        <f t="shared" si="9"/>
        <v>18922.86</v>
      </c>
      <c r="L21" s="166" t="e">
        <f>L22+L23</f>
        <v>#REF!</v>
      </c>
      <c r="M21" s="180"/>
      <c r="N21" s="181"/>
      <c r="O21" s="88">
        <f t="shared" si="7"/>
        <v>0</v>
      </c>
      <c r="P21" s="155">
        <f t="shared" si="1"/>
        <v>36.923799999999993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5198320.3899999997</v>
      </c>
      <c r="J22" s="33">
        <f t="shared" ref="J22:P22" si="10">J23+J25+J26+J24</f>
        <v>3671184.32</v>
      </c>
      <c r="K22" s="28">
        <f t="shared" si="10"/>
        <v>1527136.0700000003</v>
      </c>
      <c r="L22" s="28" t="e">
        <f t="shared" si="10"/>
        <v>#REF!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192.87790045067942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v>155350.32</v>
      </c>
      <c r="J23" s="23">
        <v>81742.69</v>
      </c>
      <c r="K23" s="35">
        <f>I23-J23</f>
        <v>73607.63</v>
      </c>
      <c r="L23" s="165" t="e">
        <f>#REF!</f>
        <v>#REF!</v>
      </c>
      <c r="M23" s="176"/>
      <c r="N23" s="177"/>
      <c r="O23" s="153">
        <f>I23-J23-K23</f>
        <v>0</v>
      </c>
      <c r="P23" s="154">
        <f t="shared" si="1"/>
        <v>52.618295218188159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100000</v>
      </c>
      <c r="J24" s="23">
        <v>0</v>
      </c>
      <c r="K24" s="35">
        <f t="shared" ref="K24:K31" si="11">I24-J24</f>
        <v>100000</v>
      </c>
      <c r="L24" s="165" t="e">
        <f>#REF!</f>
        <v>#REF!</v>
      </c>
      <c r="M24" s="176"/>
      <c r="N24" s="177"/>
      <c r="O24" s="153">
        <f t="shared" ref="O24:O40" si="12">I24-J24-K24</f>
        <v>0</v>
      </c>
      <c r="P24" s="167">
        <f t="shared" si="1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f>2218116.29+640000</f>
        <v>2858116.29</v>
      </c>
      <c r="J25" s="23">
        <v>2458823.44</v>
      </c>
      <c r="K25" s="35">
        <f>I25-J25</f>
        <v>399292.85000000009</v>
      </c>
      <c r="L25" s="87" t="e">
        <f>SUM(#REF!)</f>
        <v>#REF!</v>
      </c>
      <c r="M25" s="176"/>
      <c r="N25" s="177"/>
      <c r="O25" s="153">
        <f t="shared" si="12"/>
        <v>0</v>
      </c>
      <c r="P25" s="167">
        <f t="shared" si="1"/>
        <v>86.029510016892971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f>2835643.25-45000-705789.47</f>
        <v>2084853.78</v>
      </c>
      <c r="J26" s="23">
        <f>1156407.19-J20</f>
        <v>1130618.19</v>
      </c>
      <c r="K26" s="23">
        <f t="shared" si="11"/>
        <v>954235.59000000008</v>
      </c>
      <c r="L26" s="24" t="e">
        <f>#REF!</f>
        <v>#REF!</v>
      </c>
      <c r="M26" s="182"/>
      <c r="N26" s="183"/>
      <c r="O26" s="25">
        <f t="shared" si="12"/>
        <v>0</v>
      </c>
      <c r="P26" s="26">
        <f t="shared" si="1"/>
        <v>54.230095215598283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f>1141625.95</f>
        <v>1141625.95</v>
      </c>
      <c r="J27" s="23">
        <v>806528</v>
      </c>
      <c r="K27" s="23">
        <f t="shared" si="11"/>
        <v>335097.94999999995</v>
      </c>
      <c r="L27" s="24">
        <f t="shared" ref="L27:L28" si="13">L29+L30</f>
        <v>45000</v>
      </c>
      <c r="M27" s="182"/>
      <c r="N27" s="183"/>
      <c r="O27" s="25">
        <f t="shared" si="12"/>
        <v>0</v>
      </c>
      <c r="P27" s="26">
        <f t="shared" si="1"/>
        <v>70.647307903258508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100</v>
      </c>
      <c r="J28" s="23">
        <v>100</v>
      </c>
      <c r="K28" s="23">
        <f t="shared" si="11"/>
        <v>0</v>
      </c>
      <c r="L28" s="24">
        <f t="shared" si="13"/>
        <v>30000</v>
      </c>
      <c r="M28" s="182"/>
      <c r="N28" s="183"/>
      <c r="O28" s="25">
        <f t="shared" si="12"/>
        <v>0</v>
      </c>
      <c r="P28" s="26">
        <f t="shared" si="1"/>
        <v>100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f>1213.52+500</f>
        <v>1713.52</v>
      </c>
      <c r="J29" s="230">
        <v>1713.52</v>
      </c>
      <c r="K29" s="23">
        <f t="shared" si="11"/>
        <v>0</v>
      </c>
      <c r="L29" s="38">
        <v>15000</v>
      </c>
      <c r="M29" s="182">
        <f>J29-L29</f>
        <v>-13286.48</v>
      </c>
      <c r="N29" s="183"/>
      <c r="O29" s="25">
        <f t="shared" si="12"/>
        <v>0</v>
      </c>
      <c r="P29" s="26">
        <f t="shared" si="1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f>290.67+17.86</f>
        <v>308.53000000000003</v>
      </c>
      <c r="J30" s="23">
        <v>308.52999999999997</v>
      </c>
      <c r="K30" s="23">
        <f t="shared" si="11"/>
        <v>0</v>
      </c>
      <c r="L30" s="38">
        <v>30000</v>
      </c>
      <c r="M30" s="182">
        <f>J30-L30</f>
        <v>-29691.47</v>
      </c>
      <c r="N30" s="183"/>
      <c r="O30" s="25">
        <f t="shared" si="12"/>
        <v>5.6843418860808015E-14</v>
      </c>
      <c r="P30" s="26">
        <f t="shared" si="1"/>
        <v>99.999999999999972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1"/>
        <v>0</v>
      </c>
      <c r="L31" s="38"/>
      <c r="M31" s="182"/>
      <c r="N31" s="183"/>
      <c r="O31" s="25">
        <f t="shared" si="12"/>
        <v>0</v>
      </c>
      <c r="P31" s="26" t="e">
        <f t="shared" si="1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1500198.77</v>
      </c>
      <c r="J32" s="33">
        <f>J34+J33+J37+J38+J39+J40+J35+J36</f>
        <v>926393.22</v>
      </c>
      <c r="K32" s="33">
        <f>K34+K33+K37+K38+K39+K40+K35+K36</f>
        <v>573805.55000000005</v>
      </c>
      <c r="L32" s="33" t="e">
        <f t="shared" ref="L32:O32" si="14">L34+L33+L37+L38+L39+L40</f>
        <v>#REF!</v>
      </c>
      <c r="M32" s="33">
        <f t="shared" si="14"/>
        <v>-4416033.04</v>
      </c>
      <c r="N32" s="33">
        <f t="shared" si="14"/>
        <v>0</v>
      </c>
      <c r="O32" s="33">
        <f t="shared" si="14"/>
        <v>0</v>
      </c>
      <c r="P32" s="31">
        <f t="shared" si="1"/>
        <v>61.751365120769961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v>642896.05000000005</v>
      </c>
      <c r="J33" s="23">
        <v>506066.05</v>
      </c>
      <c r="K33" s="23">
        <f>I33-J33</f>
        <v>136830.00000000006</v>
      </c>
      <c r="L33" s="39" t="e">
        <f>#REF!+#REF!+L78+#REF!+#REF!</f>
        <v>#REF!</v>
      </c>
      <c r="M33" s="182"/>
      <c r="N33" s="183"/>
      <c r="O33" s="25">
        <f t="shared" si="12"/>
        <v>0</v>
      </c>
      <c r="P33" s="26">
        <f t="shared" si="1"/>
        <v>78.716621450699535</v>
      </c>
      <c r="Q33" s="347"/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40000</v>
      </c>
      <c r="J34" s="23">
        <v>0</v>
      </c>
      <c r="K34" s="23">
        <f t="shared" ref="K34:K39" si="15">I34-J34</f>
        <v>40000</v>
      </c>
      <c r="L34" s="23">
        <f t="shared" ref="L34:N34" si="16">L37+L39+L40+L38</f>
        <v>2501159.4</v>
      </c>
      <c r="M34" s="23">
        <f t="shared" si="16"/>
        <v>-2208016.52</v>
      </c>
      <c r="N34" s="23">
        <f t="shared" si="16"/>
        <v>0</v>
      </c>
      <c r="O34" s="25">
        <f t="shared" si="12"/>
        <v>0</v>
      </c>
      <c r="P34" s="26">
        <f t="shared" si="1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2"/>
        <v>0</v>
      </c>
      <c r="P35" s="26" t="e">
        <f t="shared" si="1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0</v>
      </c>
      <c r="J36" s="34">
        <v>0</v>
      </c>
      <c r="K36" s="23">
        <f>I36-J36</f>
        <v>0</v>
      </c>
      <c r="L36" s="97"/>
      <c r="M36" s="98"/>
      <c r="N36" s="98"/>
      <c r="O36" s="25">
        <f t="shared" si="12"/>
        <v>0</v>
      </c>
      <c r="P36" s="26" t="e">
        <f t="shared" si="1"/>
        <v>#DIV/0!</v>
      </c>
      <c r="Q36" s="252"/>
      <c r="R36" s="253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v>150000</v>
      </c>
      <c r="J37" s="34">
        <v>73861.48</v>
      </c>
      <c r="K37" s="23">
        <f t="shared" si="15"/>
        <v>76138.52</v>
      </c>
      <c r="L37" s="38">
        <v>1178466</v>
      </c>
      <c r="M37" s="182">
        <f>J37-L37</f>
        <v>-1104604.52</v>
      </c>
      <c r="N37" s="183"/>
      <c r="O37" s="25">
        <f t="shared" si="12"/>
        <v>0</v>
      </c>
      <c r="P37" s="26">
        <f t="shared" si="1"/>
        <v>49.240986666666664</v>
      </c>
      <c r="Q37" s="347"/>
      <c r="R37" s="348"/>
    </row>
    <row r="38" spans="1:50" s="15" customFormat="1" ht="23.2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v>90000</v>
      </c>
      <c r="J38" s="34">
        <v>75054</v>
      </c>
      <c r="K38" s="23">
        <f t="shared" si="15"/>
        <v>14946</v>
      </c>
      <c r="L38" s="38">
        <v>1178466</v>
      </c>
      <c r="M38" s="182">
        <f>J38-L38</f>
        <v>-1103412</v>
      </c>
      <c r="N38" s="183"/>
      <c r="O38" s="25">
        <f t="shared" si="12"/>
        <v>0</v>
      </c>
      <c r="P38" s="26">
        <f t="shared" si="1"/>
        <v>83.393333333333331</v>
      </c>
      <c r="Q38" s="331"/>
      <c r="R38" s="331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v>537302.72</v>
      </c>
      <c r="J39" s="34">
        <v>248496.69</v>
      </c>
      <c r="K39" s="23">
        <f t="shared" si="15"/>
        <v>288806.02999999997</v>
      </c>
      <c r="L39" s="38"/>
      <c r="M39" s="182"/>
      <c r="N39" s="183"/>
      <c r="O39" s="25">
        <f t="shared" si="12"/>
        <v>0</v>
      </c>
      <c r="P39" s="26">
        <f t="shared" si="1"/>
        <v>46.248917183966611</v>
      </c>
      <c r="Q39" s="331"/>
      <c r="R39" s="33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v>40000</v>
      </c>
      <c r="J40" s="34">
        <v>22915</v>
      </c>
      <c r="K40" s="23">
        <f>I40-J40</f>
        <v>17085</v>
      </c>
      <c r="L40" s="38">
        <f>88938.77+50000+5288.63</f>
        <v>144227.40000000002</v>
      </c>
      <c r="M40" s="184"/>
      <c r="N40" s="185"/>
      <c r="O40" s="90">
        <f t="shared" si="12"/>
        <v>0</v>
      </c>
      <c r="P40" s="26">
        <f>J40/I40*100</f>
        <v>57.287500000000001</v>
      </c>
      <c r="Q40" s="343"/>
      <c r="R40" s="3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87926.66</v>
      </c>
      <c r="K41" s="17">
        <f>K42+K44+K45+K43</f>
        <v>513529.18000000005</v>
      </c>
      <c r="L41" s="42"/>
      <c r="M41" s="186"/>
      <c r="N41" s="187"/>
      <c r="O41" s="20">
        <f>I41-K41-J41</f>
        <v>0</v>
      </c>
      <c r="P41" s="21">
        <f>J41/I41*100</f>
        <v>14.6189718600122</v>
      </c>
      <c r="Q41" s="331"/>
      <c r="R41" s="33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67402.98</v>
      </c>
      <c r="K42" s="35">
        <f>I42-J42</f>
        <v>401847.72000000003</v>
      </c>
      <c r="L42" s="45"/>
      <c r="M42" s="188"/>
      <c r="N42" s="189"/>
      <c r="O42" s="25">
        <f>I42-K42-J42</f>
        <v>0</v>
      </c>
      <c r="P42" s="26">
        <f t="shared" si="1"/>
        <v>14.363959393134628</v>
      </c>
      <c r="Q42" s="347"/>
      <c r="R42" s="34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18948.68</v>
      </c>
      <c r="K43" s="35">
        <f>I43-J43</f>
        <v>56922.46</v>
      </c>
      <c r="L43" s="45"/>
      <c r="M43" s="188"/>
      <c r="N43" s="189"/>
      <c r="O43" s="25"/>
      <c r="P43" s="26">
        <f t="shared" si="1"/>
        <v>24.974819147306867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0</v>
      </c>
      <c r="K44" s="35">
        <f t="shared" ref="K44:K45" si="17">I44-J44</f>
        <v>51834</v>
      </c>
      <c r="L44" s="45"/>
      <c r="M44" s="188"/>
      <c r="N44" s="189"/>
      <c r="O44" s="25">
        <f>I44-K44-J44</f>
        <v>0</v>
      </c>
      <c r="P44" s="26">
        <f t="shared" si="1"/>
        <v>0</v>
      </c>
      <c r="Q44" s="331"/>
      <c r="R44" s="331"/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1575</v>
      </c>
      <c r="K45" s="35">
        <f t="shared" si="17"/>
        <v>2925</v>
      </c>
      <c r="L45" s="24" t="e">
        <f t="shared" ref="L45" si="18">L46+L47</f>
        <v>#REF!</v>
      </c>
      <c r="M45" s="182"/>
      <c r="N45" s="183"/>
      <c r="O45" s="25">
        <f t="shared" ref="O45" si="19">I45-J45-K45</f>
        <v>0</v>
      </c>
      <c r="P45" s="26">
        <f t="shared" si="1"/>
        <v>35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0">J47</f>
        <v>377603.22</v>
      </c>
      <c r="K46" s="17">
        <f>K47</f>
        <v>872396.78</v>
      </c>
      <c r="L46" s="17" t="e">
        <f t="shared" si="20"/>
        <v>#REF!</v>
      </c>
      <c r="M46" s="17" t="e">
        <f t="shared" si="20"/>
        <v>#REF!</v>
      </c>
      <c r="N46" s="17" t="e">
        <f t="shared" si="20"/>
        <v>#REF!</v>
      </c>
      <c r="O46" s="17">
        <f t="shared" si="20"/>
        <v>0</v>
      </c>
      <c r="P46" s="21">
        <f t="shared" si="1"/>
        <v>30.2082576</v>
      </c>
      <c r="Q46" s="380"/>
      <c r="R46" s="3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v>1250000</v>
      </c>
      <c r="J47" s="23">
        <v>377603.22</v>
      </c>
      <c r="K47" s="23">
        <f>I47-J47</f>
        <v>872396.78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f>I47-J47-K47</f>
        <v>0</v>
      </c>
      <c r="P47" s="26">
        <f t="shared" si="1"/>
        <v>30.2082576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1">J49</f>
        <v>7074373.2599999998</v>
      </c>
      <c r="K48" s="17">
        <f t="shared" si="21"/>
        <v>4370179.540000001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2">I48-J48-K48</f>
        <v>0</v>
      </c>
      <c r="P48" s="17">
        <f>P49</f>
        <v>61.814326724937644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v>11444552.800000001</v>
      </c>
      <c r="J49" s="34">
        <v>7074373.2599999998</v>
      </c>
      <c r="K49" s="36">
        <f>I49-J49</f>
        <v>4370179.540000001</v>
      </c>
      <c r="L49" s="37"/>
      <c r="M49" s="182"/>
      <c r="N49" s="183"/>
      <c r="O49" s="25">
        <f>I49-J49-K49</f>
        <v>0</v>
      </c>
      <c r="P49" s="26">
        <f>J49/I49*100</f>
        <v>61.814326724937644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3">J51+J52</f>
        <v>8252.119999999999</v>
      </c>
      <c r="K50" s="17">
        <f t="shared" si="23"/>
        <v>5116.8999999999996</v>
      </c>
      <c r="L50" s="42"/>
      <c r="M50" s="186"/>
      <c r="N50" s="187"/>
      <c r="O50" s="20">
        <f>I50-J50-K50</f>
        <v>0</v>
      </c>
      <c r="P50" s="21">
        <f t="shared" si="1"/>
        <v>61.725691187536547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6687.57</v>
      </c>
      <c r="K51" s="35">
        <f>I51-J51</f>
        <v>3580.5</v>
      </c>
      <c r="L51" s="93"/>
      <c r="M51" s="188"/>
      <c r="N51" s="189"/>
      <c r="O51" s="25">
        <f t="shared" ref="O51:O52" si="24">I51-J51-K51</f>
        <v>0</v>
      </c>
      <c r="P51" s="26">
        <f t="shared" si="1"/>
        <v>65.129766353365341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1564.55</v>
      </c>
      <c r="K52" s="35">
        <f>I52-J52</f>
        <v>1536.3999999999999</v>
      </c>
      <c r="L52" s="93"/>
      <c r="M52" s="188"/>
      <c r="N52" s="189"/>
      <c r="O52" s="25">
        <f t="shared" si="24"/>
        <v>0</v>
      </c>
      <c r="P52" s="26">
        <f t="shared" si="1"/>
        <v>50.45389316177301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5">J54+J55</f>
        <v>44580.91</v>
      </c>
      <c r="K53" s="17">
        <f t="shared" si="25"/>
        <v>43769.709999999992</v>
      </c>
      <c r="L53" s="42"/>
      <c r="M53" s="186"/>
      <c r="N53" s="187"/>
      <c r="O53" s="20">
        <f>I53-J53-K53</f>
        <v>0</v>
      </c>
      <c r="P53" s="21">
        <f t="shared" si="1"/>
        <v>50.459079970236772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67857.62</v>
      </c>
      <c r="J54" s="34">
        <v>34240.33</v>
      </c>
      <c r="K54" s="35">
        <f>I54-J54</f>
        <v>33617.289999999994</v>
      </c>
      <c r="L54" s="93"/>
      <c r="M54" s="188"/>
      <c r="N54" s="189"/>
      <c r="O54" s="25">
        <f t="shared" ref="O54:O55" si="26">I54-J54-K54</f>
        <v>0</v>
      </c>
      <c r="P54" s="26">
        <f t="shared" si="1"/>
        <v>50.459078877213791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20493</v>
      </c>
      <c r="J55" s="34">
        <v>10340.58</v>
      </c>
      <c r="K55" s="35">
        <f>I55-J55</f>
        <v>10152.42</v>
      </c>
      <c r="L55" s="93"/>
      <c r="M55" s="188"/>
      <c r="N55" s="189"/>
      <c r="O55" s="25">
        <f t="shared" si="26"/>
        <v>0</v>
      </c>
      <c r="P55" s="26">
        <f t="shared" si="1"/>
        <v>50.459083589518372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7">J57+J58</f>
        <v>0</v>
      </c>
      <c r="K56" s="17">
        <f t="shared" si="27"/>
        <v>0</v>
      </c>
      <c r="L56" s="42"/>
      <c r="M56" s="186"/>
      <c r="N56" s="187"/>
      <c r="O56" s="20">
        <f>I56-J56-K56</f>
        <v>0</v>
      </c>
      <c r="P56" s="21" t="e">
        <f t="shared" si="1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28">I57-J57-K57</f>
        <v>0</v>
      </c>
      <c r="P57" s="26" t="e">
        <f t="shared" si="1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28"/>
        <v>0</v>
      </c>
      <c r="P58" s="26" t="e">
        <f t="shared" si="1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29">K60</f>
        <v>0</v>
      </c>
      <c r="L59" s="17" t="e">
        <f t="shared" si="29"/>
        <v>#REF!</v>
      </c>
      <c r="M59" s="17">
        <f t="shared" si="29"/>
        <v>0</v>
      </c>
      <c r="N59" s="17">
        <f t="shared" si="29"/>
        <v>0</v>
      </c>
      <c r="O59" s="20">
        <f>I59-J59-K59</f>
        <v>0</v>
      </c>
      <c r="P59" s="21" t="e">
        <f t="shared" si="1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1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I64+I65+I66+I67+I68+I62</f>
        <v>217600.53</v>
      </c>
      <c r="J61" s="17">
        <f t="shared" ref="J61:N61" si="30">J64+J65+J66+J67+J68+J62</f>
        <v>217573</v>
      </c>
      <c r="K61" s="17">
        <f t="shared" si="30"/>
        <v>27.529999999998836</v>
      </c>
      <c r="L61" s="17" t="e">
        <f t="shared" si="30"/>
        <v>#REF!</v>
      </c>
      <c r="M61" s="17" t="e">
        <f t="shared" si="30"/>
        <v>#REF!</v>
      </c>
      <c r="N61" s="17" t="e">
        <f t="shared" si="30"/>
        <v>#REF!</v>
      </c>
      <c r="O61" s="20">
        <f>I61-J61-K61</f>
        <v>0</v>
      </c>
      <c r="P61" s="21">
        <f>J61/I61*100</f>
        <v>99.987348376403304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26581.53</v>
      </c>
      <c r="J62" s="44">
        <f>J63</f>
        <v>26554</v>
      </c>
      <c r="K62" s="33">
        <f t="shared" ref="K62:K63" si="31">I62-J62</f>
        <v>27.529999999998836</v>
      </c>
      <c r="L62" s="92"/>
      <c r="M62" s="184"/>
      <c r="N62" s="185"/>
      <c r="O62" s="30">
        <f t="shared" ref="O62:O66" si="32">I62-J62-K62</f>
        <v>0</v>
      </c>
      <c r="P62" s="31">
        <f t="shared" ref="P62:P68" si="33">J62/I62*100</f>
        <v>99.896431845721452</v>
      </c>
      <c r="Q62" s="325"/>
      <c r="R62" s="326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26581.53</v>
      </c>
      <c r="J63" s="23">
        <v>26554</v>
      </c>
      <c r="K63" s="23">
        <f t="shared" si="31"/>
        <v>27.529999999998836</v>
      </c>
      <c r="L63" s="24"/>
      <c r="M63" s="182"/>
      <c r="N63" s="183"/>
      <c r="O63" s="25">
        <f t="shared" si="32"/>
        <v>0</v>
      </c>
      <c r="P63" s="26">
        <f t="shared" si="33"/>
        <v>99.896431845721452</v>
      </c>
      <c r="Q63" s="325"/>
      <c r="R63" s="326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172367.78</v>
      </c>
      <c r="J64" s="23">
        <v>172367.78</v>
      </c>
      <c r="K64" s="34">
        <f>I64-J64</f>
        <v>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si="32"/>
        <v>0</v>
      </c>
      <c r="P64" s="26">
        <f t="shared" si="33"/>
        <v>100</v>
      </c>
      <c r="Q64" s="325"/>
      <c r="R64" s="326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3986.5</v>
      </c>
      <c r="J65" s="23">
        <v>3986.5</v>
      </c>
      <c r="K65" s="34">
        <f t="shared" ref="K65:K70" si="34">I65-J65</f>
        <v>0</v>
      </c>
      <c r="L65" s="38">
        <v>107900</v>
      </c>
      <c r="M65" s="182"/>
      <c r="N65" s="183"/>
      <c r="O65" s="25">
        <f t="shared" si="32"/>
        <v>0</v>
      </c>
      <c r="P65" s="26">
        <f t="shared" si="33"/>
        <v>100</v>
      </c>
      <c r="Q65" s="325"/>
      <c r="R65" s="32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x14ac:dyDescent="0.25">
      <c r="A66" s="99" t="s">
        <v>113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114</v>
      </c>
      <c r="H66" s="22"/>
      <c r="I66" s="23">
        <v>0</v>
      </c>
      <c r="J66" s="23">
        <v>0</v>
      </c>
      <c r="K66" s="34">
        <f t="shared" si="34"/>
        <v>0</v>
      </c>
      <c r="L66" s="45"/>
      <c r="M66" s="188"/>
      <c r="N66" s="189"/>
      <c r="O66" s="25">
        <f t="shared" si="32"/>
        <v>0</v>
      </c>
      <c r="P66" s="26" t="e">
        <f t="shared" si="33"/>
        <v>#DIV/0!</v>
      </c>
      <c r="Q66" s="325"/>
      <c r="R66" s="326"/>
    </row>
    <row r="67" spans="1:50" s="15" customFormat="1" ht="37.5" x14ac:dyDescent="0.25">
      <c r="A67" s="175" t="s">
        <v>109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104</v>
      </c>
      <c r="H67" s="22"/>
      <c r="I67" s="23">
        <v>14664.72</v>
      </c>
      <c r="J67" s="23">
        <v>14664.72</v>
      </c>
      <c r="K67" s="34">
        <f t="shared" si="34"/>
        <v>0</v>
      </c>
      <c r="L67" s="38">
        <v>1178466</v>
      </c>
      <c r="M67" s="182">
        <f>J67-L67</f>
        <v>-1163801.28</v>
      </c>
      <c r="N67" s="183"/>
      <c r="O67" s="25">
        <f>I67-J67-K67</f>
        <v>0</v>
      </c>
      <c r="P67" s="26">
        <v>0</v>
      </c>
      <c r="Q67" s="325"/>
      <c r="R67" s="326"/>
    </row>
    <row r="68" spans="1:50" ht="37.5" x14ac:dyDescent="0.25">
      <c r="A68" s="175" t="s">
        <v>110</v>
      </c>
      <c r="B68" s="22" t="s">
        <v>9</v>
      </c>
      <c r="C68" s="22" t="s">
        <v>12</v>
      </c>
      <c r="D68" s="22" t="s">
        <v>12</v>
      </c>
      <c r="E68" s="22" t="s">
        <v>134</v>
      </c>
      <c r="F68" s="22" t="s">
        <v>22</v>
      </c>
      <c r="G68" s="22" t="s">
        <v>105</v>
      </c>
      <c r="H68" s="22"/>
      <c r="I68" s="23">
        <v>0</v>
      </c>
      <c r="J68" s="23">
        <v>0</v>
      </c>
      <c r="K68" s="34">
        <f t="shared" si="34"/>
        <v>0</v>
      </c>
      <c r="L68" s="45" t="e">
        <f>L106</f>
        <v>#REF!</v>
      </c>
      <c r="M68" s="192"/>
      <c r="N68" s="193"/>
      <c r="O68" s="25">
        <f>I68-J68-K68</f>
        <v>0</v>
      </c>
      <c r="P68" s="26" t="e">
        <f t="shared" si="33"/>
        <v>#DIV/0!</v>
      </c>
      <c r="Q68" s="325"/>
      <c r="R68" s="326"/>
    </row>
    <row r="69" spans="1:50" ht="121.5" customHeight="1" x14ac:dyDescent="0.25">
      <c r="A69" s="190" t="s">
        <v>64</v>
      </c>
      <c r="B69" s="41" t="s">
        <v>9</v>
      </c>
      <c r="C69" s="41" t="s">
        <v>12</v>
      </c>
      <c r="D69" s="41" t="s">
        <v>12</v>
      </c>
      <c r="E69" s="41" t="s">
        <v>65</v>
      </c>
      <c r="F69" s="41"/>
      <c r="G69" s="41"/>
      <c r="H69" s="41"/>
      <c r="I69" s="17">
        <f>I70</f>
        <v>20161.89</v>
      </c>
      <c r="J69" s="17">
        <f>J70</f>
        <v>20161</v>
      </c>
      <c r="K69" s="17">
        <f>K70</f>
        <v>0.88999999999941792</v>
      </c>
      <c r="L69" s="42"/>
      <c r="M69" s="186"/>
      <c r="N69" s="187"/>
      <c r="O69" s="20">
        <f>I69-J69-K69</f>
        <v>0</v>
      </c>
      <c r="P69" s="21">
        <f>J69/I69*100</f>
        <v>99.995585731298007</v>
      </c>
      <c r="Q69" s="325"/>
      <c r="R69" s="326"/>
    </row>
    <row r="70" spans="1:50" ht="40.5" customHeight="1" x14ac:dyDescent="0.25">
      <c r="A70" s="175" t="s">
        <v>109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104</v>
      </c>
      <c r="H70" s="22"/>
      <c r="I70" s="23">
        <v>20161.89</v>
      </c>
      <c r="J70" s="23">
        <v>20161</v>
      </c>
      <c r="K70" s="34">
        <f t="shared" si="34"/>
        <v>0.88999999999941792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ref="O70" si="35">I70-J70-K70</f>
        <v>0</v>
      </c>
      <c r="P70" s="26">
        <f t="shared" ref="P70" si="36">J70/I70*100</f>
        <v>99.995585731298007</v>
      </c>
      <c r="Q70" s="325"/>
      <c r="R70" s="326"/>
    </row>
    <row r="71" spans="1:50" ht="25.5" customHeight="1" x14ac:dyDescent="0.25">
      <c r="A71" s="190" t="s">
        <v>194</v>
      </c>
      <c r="B71" s="16" t="s">
        <v>81</v>
      </c>
      <c r="C71" s="16" t="s">
        <v>82</v>
      </c>
      <c r="D71" s="16" t="s">
        <v>82</v>
      </c>
      <c r="E71" s="16" t="s">
        <v>83</v>
      </c>
      <c r="F71" s="16" t="s">
        <v>81</v>
      </c>
      <c r="G71" s="41"/>
      <c r="H71" s="41"/>
      <c r="I71" s="17">
        <f>I72</f>
        <v>65789.47</v>
      </c>
      <c r="J71" s="17">
        <f>J72</f>
        <v>0</v>
      </c>
      <c r="K71" s="17">
        <f>K72</f>
        <v>65789.47</v>
      </c>
      <c r="L71" s="42"/>
      <c r="M71" s="186"/>
      <c r="N71" s="187"/>
      <c r="O71" s="20">
        <f>I71-J71-K71</f>
        <v>0</v>
      </c>
      <c r="P71" s="21">
        <f>J71/I71*100</f>
        <v>0</v>
      </c>
      <c r="Q71" s="249"/>
      <c r="R71" s="250"/>
    </row>
    <row r="72" spans="1:50" ht="40.5" customHeight="1" x14ac:dyDescent="0.25">
      <c r="A72" s="175" t="s">
        <v>109</v>
      </c>
      <c r="B72" s="22" t="s">
        <v>81</v>
      </c>
      <c r="C72" s="22" t="s">
        <v>82</v>
      </c>
      <c r="D72" s="22" t="s">
        <v>82</v>
      </c>
      <c r="E72" s="22" t="s">
        <v>83</v>
      </c>
      <c r="F72" s="22" t="s">
        <v>81</v>
      </c>
      <c r="G72" s="22" t="s">
        <v>104</v>
      </c>
      <c r="H72" s="22"/>
      <c r="I72" s="23">
        <v>65789.47</v>
      </c>
      <c r="J72" s="23">
        <v>0</v>
      </c>
      <c r="K72" s="23">
        <f>I72-J72</f>
        <v>65789.47</v>
      </c>
      <c r="L72" s="34" t="e">
        <f>#REF!</f>
        <v>#REF!</v>
      </c>
      <c r="M72" s="34" t="e">
        <f>#REF!</f>
        <v>#REF!</v>
      </c>
      <c r="N72" s="34" t="e">
        <f>#REF!</f>
        <v>#REF!</v>
      </c>
      <c r="O72" s="25">
        <f t="shared" ref="O72" si="37">I72-J72-K72</f>
        <v>0</v>
      </c>
      <c r="P72" s="26">
        <f t="shared" ref="P72" si="38">J72/I72*100</f>
        <v>0</v>
      </c>
      <c r="Q72" s="249"/>
      <c r="R72" s="250"/>
    </row>
    <row r="73" spans="1:50" s="2" customFormat="1" ht="20.25" customHeight="1" x14ac:dyDescent="0.3">
      <c r="A73" s="333" t="s">
        <v>54</v>
      </c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5"/>
      <c r="Q73" s="340"/>
      <c r="R73" s="340"/>
    </row>
    <row r="74" spans="1:50" ht="19.5" x14ac:dyDescent="0.25">
      <c r="A74" s="173" t="s">
        <v>11</v>
      </c>
      <c r="B74" s="8" t="s">
        <v>9</v>
      </c>
      <c r="C74" s="8" t="s">
        <v>12</v>
      </c>
      <c r="D74" s="8"/>
      <c r="E74" s="8"/>
      <c r="F74" s="8"/>
      <c r="G74" s="8"/>
      <c r="H74" s="8"/>
      <c r="I74" s="9">
        <f t="shared" ref="I74:N74" si="39">I75+I106</f>
        <v>77734610</v>
      </c>
      <c r="J74" s="9">
        <f t="shared" si="39"/>
        <v>49699318.569999993</v>
      </c>
      <c r="K74" s="9">
        <f t="shared" si="39"/>
        <v>28035291.43</v>
      </c>
      <c r="L74" s="9" t="e">
        <f t="shared" si="39"/>
        <v>#REF!</v>
      </c>
      <c r="M74" s="9" t="e">
        <f t="shared" si="39"/>
        <v>#REF!</v>
      </c>
      <c r="N74" s="9" t="e">
        <f t="shared" si="39"/>
        <v>#REF!</v>
      </c>
      <c r="O74" s="11">
        <f>I74-J74-K74</f>
        <v>0</v>
      </c>
      <c r="P74" s="12">
        <f>J74/I74*100</f>
        <v>63.934608496781543</v>
      </c>
      <c r="Q74" s="331"/>
      <c r="R74" s="331"/>
    </row>
    <row r="75" spans="1:50" s="15" customFormat="1" ht="19.5" x14ac:dyDescent="0.25">
      <c r="A75" s="174" t="s">
        <v>13</v>
      </c>
      <c r="B75" s="13" t="s">
        <v>9</v>
      </c>
      <c r="C75" s="13" t="s">
        <v>12</v>
      </c>
      <c r="D75" s="13" t="s">
        <v>14</v>
      </c>
      <c r="E75" s="13"/>
      <c r="F75" s="13"/>
      <c r="G75" s="13"/>
      <c r="H75" s="13"/>
      <c r="I75" s="157">
        <f>I76+I94+I97+I103+I100</f>
        <v>77351534</v>
      </c>
      <c r="J75" s="157">
        <f>J76+J94+J97+J103+J100</f>
        <v>49316242.569999993</v>
      </c>
      <c r="K75" s="14">
        <f>K76+K94+K97+K103+K100</f>
        <v>28035291.43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7">
        <f t="shared" ref="I75:O78" si="40">O76</f>
        <v>0</v>
      </c>
      <c r="P75" s="48">
        <f>J75/I75*100</f>
        <v>63.755998129267866</v>
      </c>
      <c r="Q75" s="331"/>
      <c r="R75" s="331"/>
    </row>
    <row r="76" spans="1:50" s="19" customFormat="1" ht="37.5" x14ac:dyDescent="0.25">
      <c r="A76" s="40" t="s">
        <v>15</v>
      </c>
      <c r="B76" s="41" t="s">
        <v>9</v>
      </c>
      <c r="C76" s="41" t="s">
        <v>12</v>
      </c>
      <c r="D76" s="41" t="s">
        <v>14</v>
      </c>
      <c r="E76" s="41" t="s">
        <v>55</v>
      </c>
      <c r="F76" s="41"/>
      <c r="G76" s="41"/>
      <c r="H76" s="41"/>
      <c r="I76" s="17">
        <f>I77</f>
        <v>73536924.890000001</v>
      </c>
      <c r="J76" s="17">
        <f>J77</f>
        <v>47567401.669999994</v>
      </c>
      <c r="K76" s="17">
        <f t="shared" si="40"/>
        <v>25969523.219999999</v>
      </c>
      <c r="L76" s="17">
        <f t="shared" si="40"/>
        <v>0</v>
      </c>
      <c r="M76" s="17">
        <f t="shared" si="40"/>
        <v>0</v>
      </c>
      <c r="N76" s="17">
        <f t="shared" si="40"/>
        <v>0</v>
      </c>
      <c r="O76" s="17">
        <f t="shared" si="40"/>
        <v>0</v>
      </c>
      <c r="P76" s="21">
        <f t="shared" ref="P76:P105" si="41">J76/I76*100</f>
        <v>64.685056848860029</v>
      </c>
      <c r="Q76" s="346"/>
      <c r="R76" s="346"/>
    </row>
    <row r="77" spans="1:50" s="15" customFormat="1" ht="56.25" x14ac:dyDescent="0.25">
      <c r="A77" s="194" t="s">
        <v>17</v>
      </c>
      <c r="B77" s="27" t="s">
        <v>9</v>
      </c>
      <c r="C77" s="27" t="s">
        <v>12</v>
      </c>
      <c r="D77" s="27" t="s">
        <v>14</v>
      </c>
      <c r="E77" s="27" t="s">
        <v>55</v>
      </c>
      <c r="F77" s="27"/>
      <c r="G77" s="27"/>
      <c r="H77" s="27"/>
      <c r="I77" s="28">
        <f t="shared" si="40"/>
        <v>73536924.890000001</v>
      </c>
      <c r="J77" s="156">
        <f>J78</f>
        <v>47567401.669999994</v>
      </c>
      <c r="K77" s="44">
        <f t="shared" si="40"/>
        <v>25969523.219999999</v>
      </c>
      <c r="L77" s="24"/>
      <c r="M77" s="184"/>
      <c r="N77" s="185"/>
      <c r="O77" s="30">
        <f t="shared" ref="O77:O108" si="42">I77-J77-K77</f>
        <v>0</v>
      </c>
      <c r="P77" s="31">
        <f t="shared" si="41"/>
        <v>64.685056848860029</v>
      </c>
      <c r="Q77" s="331"/>
      <c r="R77" s="331"/>
      <c r="S77" s="1"/>
      <c r="T77" s="1"/>
      <c r="U77" s="1"/>
      <c r="V77" s="1"/>
      <c r="W77" s="1"/>
      <c r="X77" s="1"/>
      <c r="Y77" s="1"/>
    </row>
    <row r="78" spans="1:50" s="15" customFormat="1" ht="18.75" x14ac:dyDescent="0.25">
      <c r="A78" s="99" t="s">
        <v>19</v>
      </c>
      <c r="B78" s="22" t="s">
        <v>9</v>
      </c>
      <c r="C78" s="22" t="s">
        <v>12</v>
      </c>
      <c r="D78" s="22" t="s">
        <v>14</v>
      </c>
      <c r="E78" s="22" t="s">
        <v>55</v>
      </c>
      <c r="F78" s="22" t="s">
        <v>20</v>
      </c>
      <c r="G78" s="22"/>
      <c r="H78" s="22"/>
      <c r="I78" s="28">
        <f t="shared" si="40"/>
        <v>73536924.890000001</v>
      </c>
      <c r="J78" s="156">
        <f t="shared" si="40"/>
        <v>47567401.669999994</v>
      </c>
      <c r="K78" s="44">
        <f t="shared" si="40"/>
        <v>25969523.219999999</v>
      </c>
      <c r="L78" s="38"/>
      <c r="M78" s="184"/>
      <c r="N78" s="185"/>
      <c r="O78" s="30">
        <f t="shared" si="42"/>
        <v>0</v>
      </c>
      <c r="P78" s="31">
        <f t="shared" si="41"/>
        <v>64.685056848860029</v>
      </c>
      <c r="Q78" s="331"/>
      <c r="R78" s="331"/>
      <c r="S78" s="1"/>
      <c r="T78" s="1"/>
      <c r="U78" s="1"/>
      <c r="V78" s="1"/>
      <c r="W78" s="1"/>
      <c r="X78" s="1"/>
      <c r="Y78" s="1"/>
    </row>
    <row r="79" spans="1:50" s="2" customFormat="1" ht="56.25" x14ac:dyDescent="0.25">
      <c r="A79" s="99" t="s">
        <v>21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22</v>
      </c>
      <c r="G79" s="22"/>
      <c r="H79" s="22"/>
      <c r="I79" s="28">
        <f t="shared" ref="I79:N79" si="43">I80+I90</f>
        <v>73536924.890000001</v>
      </c>
      <c r="J79" s="28">
        <f t="shared" si="43"/>
        <v>47567401.669999994</v>
      </c>
      <c r="K79" s="33">
        <f t="shared" si="43"/>
        <v>25969523.219999999</v>
      </c>
      <c r="L79" s="33" t="e">
        <f t="shared" si="43"/>
        <v>#REF!</v>
      </c>
      <c r="M79" s="33" t="e">
        <f t="shared" si="43"/>
        <v>#REF!</v>
      </c>
      <c r="N79" s="33" t="e">
        <f t="shared" si="43"/>
        <v>#REF!</v>
      </c>
      <c r="O79" s="30">
        <f t="shared" si="42"/>
        <v>0</v>
      </c>
      <c r="P79" s="31">
        <f t="shared" si="41"/>
        <v>64.685056848860029</v>
      </c>
      <c r="Q79" s="331"/>
      <c r="R79" s="33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8.75" x14ac:dyDescent="0.25">
      <c r="A80" s="99" t="s">
        <v>23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 t="s">
        <v>24</v>
      </c>
      <c r="H80" s="22"/>
      <c r="I80" s="28">
        <f>I81+I88+I87+I85</f>
        <v>70313524.890000001</v>
      </c>
      <c r="J80" s="28">
        <f>J81+J88+J87+J85</f>
        <v>45357170.319999993</v>
      </c>
      <c r="K80" s="33">
        <f>K81+K88+K87+K85</f>
        <v>24956354.57</v>
      </c>
      <c r="L80" s="33" t="e">
        <f>L81+L88+#REF!</f>
        <v>#REF!</v>
      </c>
      <c r="M80" s="33" t="e">
        <f>M81+M88+#REF!</f>
        <v>#REF!</v>
      </c>
      <c r="N80" s="33" t="e">
        <f>N81+N88+#REF!</f>
        <v>#REF!</v>
      </c>
      <c r="O80" s="30">
        <f t="shared" si="42"/>
        <v>0</v>
      </c>
      <c r="P80" s="31">
        <f t="shared" si="41"/>
        <v>64.5070352979142</v>
      </c>
      <c r="Q80" s="331"/>
      <c r="R80" s="331"/>
    </row>
    <row r="81" spans="1:50" ht="18.75" x14ac:dyDescent="0.25">
      <c r="A81" s="99" t="s">
        <v>25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26</v>
      </c>
      <c r="H81" s="22"/>
      <c r="I81" s="28">
        <f>I82+I83+I84</f>
        <v>69377524.890000001</v>
      </c>
      <c r="J81" s="28">
        <f t="shared" ref="J81:K81" si="44">J82+J83+J84</f>
        <v>44689098.390000001</v>
      </c>
      <c r="K81" s="33">
        <f t="shared" si="44"/>
        <v>24688426.5</v>
      </c>
      <c r="L81" s="33" t="e">
        <f>L82+#REF!+L83</f>
        <v>#REF!</v>
      </c>
      <c r="M81" s="33" t="e">
        <f>M82+#REF!+M83</f>
        <v>#REF!</v>
      </c>
      <c r="N81" s="33" t="e">
        <f>N82+#REF!+N83</f>
        <v>#REF!</v>
      </c>
      <c r="O81" s="30">
        <f t="shared" si="42"/>
        <v>0</v>
      </c>
      <c r="P81" s="31">
        <f t="shared" si="41"/>
        <v>64.414374051042913</v>
      </c>
      <c r="Q81" s="331"/>
      <c r="R81" s="331"/>
    </row>
    <row r="82" spans="1:50" ht="18.75" x14ac:dyDescent="0.25">
      <c r="A82" s="99" t="s">
        <v>27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28</v>
      </c>
      <c r="H82" s="22"/>
      <c r="I82" s="23">
        <v>53227407.75</v>
      </c>
      <c r="J82" s="23">
        <v>34359403.670000002</v>
      </c>
      <c r="K82" s="23">
        <f>I82-J82</f>
        <v>18868004.079999998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5">
        <f t="shared" si="42"/>
        <v>0</v>
      </c>
      <c r="P82" s="26">
        <f t="shared" si="41"/>
        <v>64.552089087975546</v>
      </c>
      <c r="Q82" s="331"/>
      <c r="R82" s="331"/>
    </row>
    <row r="83" spans="1:50" ht="18.75" x14ac:dyDescent="0.25">
      <c r="A83" s="175" t="s">
        <v>29</v>
      </c>
      <c r="B83" s="22" t="s">
        <v>9</v>
      </c>
      <c r="C83" s="22" t="s">
        <v>12</v>
      </c>
      <c r="D83" s="22" t="s">
        <v>14</v>
      </c>
      <c r="E83" s="22" t="s">
        <v>55</v>
      </c>
      <c r="F83" s="22" t="s">
        <v>22</v>
      </c>
      <c r="G83" s="22" t="s">
        <v>30</v>
      </c>
      <c r="H83" s="22"/>
      <c r="I83" s="23">
        <v>9000</v>
      </c>
      <c r="J83" s="23">
        <v>2200</v>
      </c>
      <c r="K83" s="23">
        <f t="shared" ref="K83" si="45">I83-J83</f>
        <v>6800</v>
      </c>
      <c r="L83" s="23" t="e">
        <f>#REF!+#REF!</f>
        <v>#REF!</v>
      </c>
      <c r="M83" s="23" t="e">
        <f>#REF!+#REF!</f>
        <v>#REF!</v>
      </c>
      <c r="N83" s="23" t="e">
        <f>#REF!+#REF!</f>
        <v>#REF!</v>
      </c>
      <c r="O83" s="25">
        <f t="shared" si="42"/>
        <v>0</v>
      </c>
      <c r="P83" s="26">
        <f t="shared" si="41"/>
        <v>24.444444444444443</v>
      </c>
      <c r="Q83" s="331"/>
      <c r="R83" s="331"/>
    </row>
    <row r="84" spans="1:50" ht="21.75" customHeight="1" x14ac:dyDescent="0.25">
      <c r="A84" s="175" t="s">
        <v>31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32</v>
      </c>
      <c r="H84" s="22"/>
      <c r="I84" s="23">
        <v>16141117.140000001</v>
      </c>
      <c r="J84" s="34">
        <v>10327494.720000001</v>
      </c>
      <c r="K84" s="23">
        <f>I84-J84</f>
        <v>5813622.4199999999</v>
      </c>
      <c r="L84" s="24" t="e">
        <f>#REF!</f>
        <v>#REF!</v>
      </c>
      <c r="M84" s="182"/>
      <c r="N84" s="183"/>
      <c r="O84" s="25">
        <f t="shared" si="42"/>
        <v>0</v>
      </c>
      <c r="P84" s="26">
        <f t="shared" si="41"/>
        <v>63.982527543939263</v>
      </c>
      <c r="Q84" s="343"/>
      <c r="R84" s="343"/>
    </row>
    <row r="85" spans="1:50" ht="21.75" customHeight="1" x14ac:dyDescent="0.25">
      <c r="A85" s="179" t="s">
        <v>33</v>
      </c>
      <c r="B85" s="27" t="s">
        <v>9</v>
      </c>
      <c r="C85" s="27" t="s">
        <v>12</v>
      </c>
      <c r="D85" s="27" t="s">
        <v>14</v>
      </c>
      <c r="E85" s="27" t="s">
        <v>55</v>
      </c>
      <c r="F85" s="27" t="s">
        <v>22</v>
      </c>
      <c r="G85" s="27" t="s">
        <v>34</v>
      </c>
      <c r="H85" s="22"/>
      <c r="I85" s="33">
        <f>I86</f>
        <v>186000</v>
      </c>
      <c r="J85" s="44">
        <f>J86</f>
        <v>62939.4</v>
      </c>
      <c r="K85" s="33">
        <f t="shared" ref="K85:K86" si="46">I85-J85</f>
        <v>123060.6</v>
      </c>
      <c r="L85" s="92"/>
      <c r="M85" s="184"/>
      <c r="N85" s="185"/>
      <c r="O85" s="30">
        <f t="shared" si="42"/>
        <v>0</v>
      </c>
      <c r="P85" s="31">
        <f t="shared" si="41"/>
        <v>33.838387096774191</v>
      </c>
      <c r="Q85" s="344"/>
      <c r="R85" s="345"/>
    </row>
    <row r="86" spans="1:50" ht="24" customHeight="1" x14ac:dyDescent="0.25">
      <c r="A86" s="99" t="s">
        <v>43</v>
      </c>
      <c r="B86" s="22" t="s">
        <v>9</v>
      </c>
      <c r="C86" s="22" t="s">
        <v>12</v>
      </c>
      <c r="D86" s="22" t="s">
        <v>14</v>
      </c>
      <c r="E86" s="22" t="s">
        <v>55</v>
      </c>
      <c r="F86" s="22" t="s">
        <v>22</v>
      </c>
      <c r="G86" s="22" t="s">
        <v>44</v>
      </c>
      <c r="H86" s="22"/>
      <c r="I86" s="23">
        <v>186000</v>
      </c>
      <c r="J86" s="34">
        <v>62939.4</v>
      </c>
      <c r="K86" s="23">
        <f t="shared" si="46"/>
        <v>123060.6</v>
      </c>
      <c r="L86" s="24"/>
      <c r="M86" s="182"/>
      <c r="N86" s="183"/>
      <c r="O86" s="25">
        <f t="shared" si="42"/>
        <v>0</v>
      </c>
      <c r="P86" s="26">
        <f t="shared" si="41"/>
        <v>33.838387096774191</v>
      </c>
      <c r="Q86" s="344"/>
      <c r="R86" s="345"/>
    </row>
    <row r="87" spans="1:50" ht="42" customHeight="1" x14ac:dyDescent="0.25">
      <c r="A87" s="179" t="s">
        <v>93</v>
      </c>
      <c r="B87" s="27" t="s">
        <v>9</v>
      </c>
      <c r="C87" s="27" t="s">
        <v>12</v>
      </c>
      <c r="D87" s="27" t="s">
        <v>14</v>
      </c>
      <c r="E87" s="27" t="s">
        <v>55</v>
      </c>
      <c r="F87" s="27" t="s">
        <v>22</v>
      </c>
      <c r="G87" s="27" t="s">
        <v>94</v>
      </c>
      <c r="H87" s="27"/>
      <c r="I87" s="33">
        <v>220000</v>
      </c>
      <c r="J87" s="44">
        <v>213484.98</v>
      </c>
      <c r="K87" s="28">
        <f>I87-J87</f>
        <v>6515.0199999999895</v>
      </c>
      <c r="L87" s="94">
        <v>802458</v>
      </c>
      <c r="M87" s="184">
        <f>L87</f>
        <v>802458</v>
      </c>
      <c r="N87" s="185"/>
      <c r="O87" s="30">
        <f>I87-J87-K87</f>
        <v>0</v>
      </c>
      <c r="P87" s="31">
        <v>0</v>
      </c>
      <c r="Q87" s="344"/>
      <c r="R87" s="345"/>
    </row>
    <row r="88" spans="1:50" ht="18.75" x14ac:dyDescent="0.25">
      <c r="A88" s="179" t="s">
        <v>33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34</v>
      </c>
      <c r="H88" s="27"/>
      <c r="I88" s="33">
        <f>I89</f>
        <v>530000</v>
      </c>
      <c r="J88" s="33">
        <f t="shared" ref="J88:P88" si="47">J89</f>
        <v>391647.55</v>
      </c>
      <c r="K88" s="28">
        <f t="shared" si="47"/>
        <v>138352.45000000001</v>
      </c>
      <c r="L88" s="28" t="e">
        <f t="shared" si="47"/>
        <v>#REF!</v>
      </c>
      <c r="M88" s="28" t="e">
        <f t="shared" si="47"/>
        <v>#REF!</v>
      </c>
      <c r="N88" s="28" t="e">
        <f t="shared" si="47"/>
        <v>#REF!</v>
      </c>
      <c r="O88" s="28">
        <f t="shared" si="47"/>
        <v>0</v>
      </c>
      <c r="P88" s="28">
        <f t="shared" si="47"/>
        <v>73.895764150943393</v>
      </c>
      <c r="Q88" s="331"/>
      <c r="R88" s="331"/>
    </row>
    <row r="89" spans="1:50" ht="18.75" x14ac:dyDescent="0.25">
      <c r="A89" s="99" t="s">
        <v>43</v>
      </c>
      <c r="B89" s="22" t="s">
        <v>9</v>
      </c>
      <c r="C89" s="22" t="s">
        <v>12</v>
      </c>
      <c r="D89" s="22" t="s">
        <v>14</v>
      </c>
      <c r="E89" s="22" t="s">
        <v>55</v>
      </c>
      <c r="F89" s="22" t="s">
        <v>22</v>
      </c>
      <c r="G89" s="22" t="s">
        <v>44</v>
      </c>
      <c r="H89" s="22"/>
      <c r="I89" s="23">
        <f>716000-186000</f>
        <v>530000</v>
      </c>
      <c r="J89" s="23">
        <f>454586.95-62939.4</f>
        <v>391647.55</v>
      </c>
      <c r="K89" s="35">
        <f>I89-J89</f>
        <v>138352.45000000001</v>
      </c>
      <c r="L89" s="35" t="e">
        <f>L87+#REF!+#REF!</f>
        <v>#REF!</v>
      </c>
      <c r="M89" s="35" t="e">
        <f>M87+#REF!+#REF!</f>
        <v>#REF!</v>
      </c>
      <c r="N89" s="35" t="e">
        <f>N87+#REF!+#REF!</f>
        <v>#REF!</v>
      </c>
      <c r="O89" s="153">
        <f t="shared" si="42"/>
        <v>0</v>
      </c>
      <c r="P89" s="154">
        <f t="shared" si="41"/>
        <v>73.895764150943393</v>
      </c>
      <c r="Q89" s="331"/>
      <c r="R89" s="331"/>
    </row>
    <row r="90" spans="1:50" s="2" customFormat="1" ht="18.75" x14ac:dyDescent="0.25">
      <c r="A90" s="194" t="s">
        <v>45</v>
      </c>
      <c r="B90" s="27" t="s">
        <v>9</v>
      </c>
      <c r="C90" s="27" t="s">
        <v>12</v>
      </c>
      <c r="D90" s="27" t="s">
        <v>14</v>
      </c>
      <c r="E90" s="27" t="s">
        <v>55</v>
      </c>
      <c r="F90" s="27" t="s">
        <v>22</v>
      </c>
      <c r="G90" s="27" t="s">
        <v>46</v>
      </c>
      <c r="H90" s="27"/>
      <c r="I90" s="33">
        <f>I91+I93+I92</f>
        <v>3223400</v>
      </c>
      <c r="J90" s="33">
        <f t="shared" ref="J90:P90" si="48">J91+J93+J92</f>
        <v>2210231.35</v>
      </c>
      <c r="K90" s="33">
        <f t="shared" si="48"/>
        <v>1013168.6499999998</v>
      </c>
      <c r="L90" s="33" t="e">
        <f t="shared" si="48"/>
        <v>#REF!</v>
      </c>
      <c r="M90" s="33">
        <f t="shared" si="48"/>
        <v>100</v>
      </c>
      <c r="N90" s="33">
        <f t="shared" si="48"/>
        <v>0</v>
      </c>
      <c r="O90" s="33">
        <f t="shared" si="48"/>
        <v>0</v>
      </c>
      <c r="P90" s="33">
        <f t="shared" si="48"/>
        <v>82.984764183753242</v>
      </c>
      <c r="Q90" s="341"/>
      <c r="R90" s="341"/>
      <c r="S90" s="15"/>
      <c r="T90" s="15"/>
      <c r="U90" s="15"/>
      <c r="V90" s="15"/>
      <c r="W90" s="15"/>
      <c r="X90" s="15"/>
      <c r="Y90" s="1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8.75" x14ac:dyDescent="0.25">
      <c r="A91" s="99" t="s">
        <v>47</v>
      </c>
      <c r="B91" s="22" t="s">
        <v>9</v>
      </c>
      <c r="C91" s="22" t="s">
        <v>12</v>
      </c>
      <c r="D91" s="22" t="s">
        <v>14</v>
      </c>
      <c r="E91" s="22" t="s">
        <v>55</v>
      </c>
      <c r="F91" s="22" t="s">
        <v>22</v>
      </c>
      <c r="G91" s="22" t="s">
        <v>48</v>
      </c>
      <c r="H91" s="22"/>
      <c r="I91" s="23">
        <v>2693400</v>
      </c>
      <c r="J91" s="23">
        <v>2203102.7000000002</v>
      </c>
      <c r="K91" s="35">
        <f t="shared" ref="K91" si="49">I91-J91</f>
        <v>490297.29999999981</v>
      </c>
      <c r="L91" s="50" t="e">
        <f>L93+#REF!+#REF!+#REF!+#REF!</f>
        <v>#REF!</v>
      </c>
      <c r="M91" s="176"/>
      <c r="N91" s="177"/>
      <c r="O91" s="153">
        <f t="shared" si="42"/>
        <v>0</v>
      </c>
      <c r="P91" s="154">
        <f t="shared" si="41"/>
        <v>81.796342912304155</v>
      </c>
      <c r="Q91" s="341"/>
      <c r="R91" s="341"/>
    </row>
    <row r="92" spans="1:50" ht="37.5" x14ac:dyDescent="0.25">
      <c r="A92" s="175" t="s">
        <v>109</v>
      </c>
      <c r="B92" s="22" t="s">
        <v>9</v>
      </c>
      <c r="C92" s="22" t="s">
        <v>12</v>
      </c>
      <c r="D92" s="22" t="s">
        <v>14</v>
      </c>
      <c r="E92" s="22" t="s">
        <v>55</v>
      </c>
      <c r="F92" s="22" t="s">
        <v>22</v>
      </c>
      <c r="G92" s="22" t="s">
        <v>104</v>
      </c>
      <c r="H92" s="22"/>
      <c r="I92" s="23">
        <v>529160</v>
      </c>
      <c r="J92" s="34">
        <v>6288.65</v>
      </c>
      <c r="K92" s="35">
        <f t="shared" ref="K92" si="50">I92-J92</f>
        <v>522871.35</v>
      </c>
      <c r="L92" s="50" t="e">
        <f>#REF!</f>
        <v>#REF!</v>
      </c>
      <c r="M92" s="176"/>
      <c r="N92" s="177"/>
      <c r="O92" s="153">
        <f t="shared" ref="O92" si="51">I92-J92-K92</f>
        <v>0</v>
      </c>
      <c r="P92" s="154">
        <f t="shared" ref="P92" si="52">J92/I92*100</f>
        <v>1.1884212714490889</v>
      </c>
      <c r="Q92" s="382"/>
      <c r="R92" s="383"/>
    </row>
    <row r="93" spans="1:50" ht="37.5" x14ac:dyDescent="0.25">
      <c r="A93" s="268" t="s">
        <v>110</v>
      </c>
      <c r="B93" s="269" t="s">
        <v>9</v>
      </c>
      <c r="C93" s="22" t="s">
        <v>12</v>
      </c>
      <c r="D93" s="22" t="s">
        <v>14</v>
      </c>
      <c r="E93" s="22" t="s">
        <v>55</v>
      </c>
      <c r="F93" s="22" t="s">
        <v>22</v>
      </c>
      <c r="G93" s="269" t="s">
        <v>105</v>
      </c>
      <c r="H93" s="269"/>
      <c r="I93" s="270">
        <v>840</v>
      </c>
      <c r="J93" s="271">
        <v>840</v>
      </c>
      <c r="K93" s="272">
        <v>0</v>
      </c>
      <c r="L93" s="273">
        <v>0</v>
      </c>
      <c r="M93" s="274">
        <v>100</v>
      </c>
      <c r="N93" s="384"/>
      <c r="O93" s="385"/>
      <c r="P93" s="275"/>
      <c r="Q93" s="276"/>
      <c r="R93" s="276"/>
      <c r="S93" s="276"/>
      <c r="T93" s="276"/>
      <c r="U93" s="276"/>
      <c r="V93" s="276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</row>
    <row r="94" spans="1:50" s="2" customFormat="1" ht="118.5" customHeight="1" x14ac:dyDescent="0.25">
      <c r="A94" s="86" t="s">
        <v>130</v>
      </c>
      <c r="B94" s="41" t="s">
        <v>9</v>
      </c>
      <c r="C94" s="41" t="s">
        <v>12</v>
      </c>
      <c r="D94" s="41" t="s">
        <v>14</v>
      </c>
      <c r="E94" s="41" t="s">
        <v>57</v>
      </c>
      <c r="F94" s="41" t="s">
        <v>22</v>
      </c>
      <c r="G94" s="16"/>
      <c r="H94" s="16"/>
      <c r="I94" s="17">
        <f>I95+I96</f>
        <v>254011.41</v>
      </c>
      <c r="J94" s="17">
        <f t="shared" ref="J94:K94" si="53">J95+J96</f>
        <v>171643.78999999998</v>
      </c>
      <c r="K94" s="17">
        <f t="shared" si="53"/>
        <v>82367.62000000001</v>
      </c>
      <c r="L94" s="42"/>
      <c r="M94" s="186"/>
      <c r="N94" s="187"/>
      <c r="O94" s="20">
        <f t="shared" si="42"/>
        <v>0</v>
      </c>
      <c r="P94" s="21">
        <f t="shared" si="41"/>
        <v>67.573259799628687</v>
      </c>
      <c r="Q94" s="331"/>
      <c r="R94" s="33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s="2" customFormat="1" ht="18.75" x14ac:dyDescent="0.25">
      <c r="A95" s="175" t="s">
        <v>27</v>
      </c>
      <c r="B95" s="43" t="s">
        <v>9</v>
      </c>
      <c r="C95" s="43" t="s">
        <v>12</v>
      </c>
      <c r="D95" s="43" t="s">
        <v>14</v>
      </c>
      <c r="E95" s="43" t="s">
        <v>57</v>
      </c>
      <c r="F95" s="43" t="s">
        <v>22</v>
      </c>
      <c r="G95" s="43" t="s">
        <v>28</v>
      </c>
      <c r="H95" s="43"/>
      <c r="I95" s="23">
        <v>195093.25</v>
      </c>
      <c r="J95" s="34">
        <v>141917.51999999999</v>
      </c>
      <c r="K95" s="35">
        <f t="shared" ref="K95:K96" si="54">I95-J95</f>
        <v>53175.73000000001</v>
      </c>
      <c r="L95" s="93"/>
      <c r="M95" s="188"/>
      <c r="N95" s="189"/>
      <c r="O95" s="25">
        <f t="shared" si="42"/>
        <v>0</v>
      </c>
      <c r="P95" s="26">
        <f t="shared" si="41"/>
        <v>72.74342910377473</v>
      </c>
      <c r="Q95" s="331"/>
      <c r="R95" s="33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15" customFormat="1" ht="18.75" x14ac:dyDescent="0.25">
      <c r="A96" s="99" t="s">
        <v>31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103">
        <v>213</v>
      </c>
      <c r="H96" s="22"/>
      <c r="I96" s="23">
        <v>58918.16</v>
      </c>
      <c r="J96" s="34">
        <v>29726.27</v>
      </c>
      <c r="K96" s="35">
        <f t="shared" si="54"/>
        <v>29191.890000000003</v>
      </c>
      <c r="L96" s="93"/>
      <c r="M96" s="188"/>
      <c r="N96" s="189"/>
      <c r="O96" s="25">
        <f t="shared" si="42"/>
        <v>0</v>
      </c>
      <c r="P96" s="26">
        <f t="shared" si="41"/>
        <v>50.45349345600745</v>
      </c>
      <c r="Q96" s="331"/>
      <c r="R96" s="331"/>
    </row>
    <row r="97" spans="1:50" s="15" customFormat="1" ht="118.5" customHeight="1" x14ac:dyDescent="0.25">
      <c r="A97" s="86" t="s">
        <v>131</v>
      </c>
      <c r="B97" s="41" t="s">
        <v>9</v>
      </c>
      <c r="C97" s="41" t="s">
        <v>12</v>
      </c>
      <c r="D97" s="41" t="s">
        <v>14</v>
      </c>
      <c r="E97" s="41" t="s">
        <v>57</v>
      </c>
      <c r="F97" s="41" t="s">
        <v>22</v>
      </c>
      <c r="G97" s="16"/>
      <c r="H97" s="16"/>
      <c r="I97" s="17">
        <f>I98+I99</f>
        <v>1678661.9200000002</v>
      </c>
      <c r="J97" s="17">
        <f t="shared" ref="J97:K97" si="55">J98+J99</f>
        <v>847037.17999999993</v>
      </c>
      <c r="K97" s="17">
        <f t="shared" si="55"/>
        <v>831624.74000000022</v>
      </c>
      <c r="L97" s="42"/>
      <c r="M97" s="186"/>
      <c r="N97" s="187"/>
      <c r="O97" s="20">
        <f t="shared" si="42"/>
        <v>0</v>
      </c>
      <c r="P97" s="21">
        <f t="shared" si="41"/>
        <v>50.459069209123406</v>
      </c>
      <c r="Q97" s="338"/>
      <c r="R97" s="339"/>
    </row>
    <row r="98" spans="1:50" s="15" customFormat="1" ht="18.75" x14ac:dyDescent="0.25">
      <c r="A98" s="175" t="s">
        <v>27</v>
      </c>
      <c r="B98" s="43" t="s">
        <v>9</v>
      </c>
      <c r="C98" s="43" t="s">
        <v>12</v>
      </c>
      <c r="D98" s="43" t="s">
        <v>14</v>
      </c>
      <c r="E98" s="43" t="s">
        <v>57</v>
      </c>
      <c r="F98" s="43" t="s">
        <v>22</v>
      </c>
      <c r="G98" s="43" t="s">
        <v>28</v>
      </c>
      <c r="H98" s="43"/>
      <c r="I98" s="23">
        <v>1289294.8700000001</v>
      </c>
      <c r="J98" s="34">
        <v>650566.18999999994</v>
      </c>
      <c r="K98" s="35">
        <f t="shared" ref="K98:K99" si="56">I98-J98</f>
        <v>638728.68000000017</v>
      </c>
      <c r="L98" s="93"/>
      <c r="M98" s="188"/>
      <c r="N98" s="189"/>
      <c r="O98" s="25">
        <f t="shared" si="42"/>
        <v>0</v>
      </c>
      <c r="P98" s="26">
        <f t="shared" si="41"/>
        <v>50.459069149945499</v>
      </c>
      <c r="Q98" s="338"/>
      <c r="R98" s="339"/>
    </row>
    <row r="99" spans="1:50" s="15" customFormat="1" ht="18.75" x14ac:dyDescent="0.25">
      <c r="A99" s="99" t="s">
        <v>31</v>
      </c>
      <c r="B99" s="43" t="s">
        <v>9</v>
      </c>
      <c r="C99" s="43" t="s">
        <v>12</v>
      </c>
      <c r="D99" s="43" t="s">
        <v>14</v>
      </c>
      <c r="E99" s="43" t="s">
        <v>57</v>
      </c>
      <c r="F99" s="43" t="s">
        <v>22</v>
      </c>
      <c r="G99" s="103">
        <v>213</v>
      </c>
      <c r="H99" s="22"/>
      <c r="I99" s="23">
        <v>389367.05</v>
      </c>
      <c r="J99" s="34">
        <v>196470.99</v>
      </c>
      <c r="K99" s="35">
        <f t="shared" si="56"/>
        <v>192896.06</v>
      </c>
      <c r="L99" s="93"/>
      <c r="M99" s="188"/>
      <c r="N99" s="189"/>
      <c r="O99" s="25">
        <f t="shared" si="42"/>
        <v>0</v>
      </c>
      <c r="P99" s="26">
        <f t="shared" si="41"/>
        <v>50.459069405076775</v>
      </c>
      <c r="Q99" s="338"/>
      <c r="R99" s="339"/>
    </row>
    <row r="100" spans="1:50" s="15" customFormat="1" ht="118.5" hidden="1" customHeight="1" x14ac:dyDescent="0.25">
      <c r="A100" s="86" t="s">
        <v>131</v>
      </c>
      <c r="B100" s="41" t="s">
        <v>9</v>
      </c>
      <c r="C100" s="41" t="s">
        <v>12</v>
      </c>
      <c r="D100" s="41" t="s">
        <v>14</v>
      </c>
      <c r="E100" s="41" t="s">
        <v>152</v>
      </c>
      <c r="F100" s="41" t="s">
        <v>22</v>
      </c>
      <c r="G100" s="16"/>
      <c r="H100" s="16"/>
      <c r="I100" s="17">
        <f>I101+I102</f>
        <v>0</v>
      </c>
      <c r="J100" s="17">
        <f t="shared" ref="J100:K100" si="57">J101+J102</f>
        <v>0</v>
      </c>
      <c r="K100" s="17">
        <f t="shared" si="57"/>
        <v>0</v>
      </c>
      <c r="L100" s="42"/>
      <c r="M100" s="186"/>
      <c r="N100" s="187"/>
      <c r="O100" s="20">
        <f t="shared" si="42"/>
        <v>0</v>
      </c>
      <c r="P100" s="21" t="e">
        <f t="shared" si="41"/>
        <v>#DIV/0!</v>
      </c>
      <c r="Q100" s="338"/>
      <c r="R100" s="339"/>
    </row>
    <row r="101" spans="1:50" s="15" customFormat="1" ht="18.75" hidden="1" x14ac:dyDescent="0.25">
      <c r="A101" s="175" t="s">
        <v>27</v>
      </c>
      <c r="B101" s="43" t="s">
        <v>9</v>
      </c>
      <c r="C101" s="43" t="s">
        <v>12</v>
      </c>
      <c r="D101" s="43" t="s">
        <v>14</v>
      </c>
      <c r="E101" s="43" t="s">
        <v>152</v>
      </c>
      <c r="F101" s="43" t="s">
        <v>22</v>
      </c>
      <c r="G101" s="43" t="s">
        <v>28</v>
      </c>
      <c r="H101" s="43"/>
      <c r="I101" s="121">
        <v>0</v>
      </c>
      <c r="J101" s="122">
        <v>0</v>
      </c>
      <c r="K101" s="35">
        <f>I101-J101</f>
        <v>0</v>
      </c>
      <c r="L101" s="93"/>
      <c r="M101" s="188"/>
      <c r="N101" s="189"/>
      <c r="O101" s="25">
        <f>I101-J101-K101</f>
        <v>0</v>
      </c>
      <c r="P101" s="26" t="e">
        <f t="shared" si="41"/>
        <v>#DIV/0!</v>
      </c>
      <c r="Q101" s="338"/>
      <c r="R101" s="339"/>
    </row>
    <row r="102" spans="1:50" s="15" customFormat="1" ht="18.75" hidden="1" x14ac:dyDescent="0.25">
      <c r="A102" s="99" t="s">
        <v>31</v>
      </c>
      <c r="B102" s="43" t="s">
        <v>9</v>
      </c>
      <c r="C102" s="43" t="s">
        <v>12</v>
      </c>
      <c r="D102" s="43" t="s">
        <v>14</v>
      </c>
      <c r="E102" s="43" t="s">
        <v>152</v>
      </c>
      <c r="F102" s="43" t="s">
        <v>22</v>
      </c>
      <c r="G102" s="103">
        <v>213</v>
      </c>
      <c r="H102" s="22"/>
      <c r="I102" s="121">
        <v>0</v>
      </c>
      <c r="J102" s="122">
        <v>0</v>
      </c>
      <c r="K102" s="35">
        <f t="shared" ref="K102" si="58">I102-J102</f>
        <v>0</v>
      </c>
      <c r="L102" s="93"/>
      <c r="M102" s="188"/>
      <c r="N102" s="189"/>
      <c r="O102" s="25">
        <f t="shared" si="42"/>
        <v>0</v>
      </c>
      <c r="P102" s="26" t="e">
        <f t="shared" si="41"/>
        <v>#DIV/0!</v>
      </c>
      <c r="Q102" s="338"/>
      <c r="R102" s="339"/>
    </row>
    <row r="103" spans="1:50" s="2" customFormat="1" ht="62.25" customHeight="1" x14ac:dyDescent="0.25">
      <c r="A103" s="190" t="s">
        <v>58</v>
      </c>
      <c r="B103" s="41" t="s">
        <v>9</v>
      </c>
      <c r="C103" s="41" t="s">
        <v>12</v>
      </c>
      <c r="D103" s="41" t="s">
        <v>14</v>
      </c>
      <c r="E103" s="41" t="s">
        <v>59</v>
      </c>
      <c r="F103" s="41" t="s">
        <v>22</v>
      </c>
      <c r="G103" s="41"/>
      <c r="H103" s="41"/>
      <c r="I103" s="17">
        <f>I105+I104</f>
        <v>1881935.78</v>
      </c>
      <c r="J103" s="17">
        <f>J105+J104</f>
        <v>730159.93</v>
      </c>
      <c r="K103" s="17">
        <f>K105+K104</f>
        <v>1151775.8500000001</v>
      </c>
      <c r="L103" s="18"/>
      <c r="M103" s="195"/>
      <c r="N103" s="196"/>
      <c r="O103" s="20">
        <f t="shared" si="42"/>
        <v>0</v>
      </c>
      <c r="P103" s="21">
        <f t="shared" si="41"/>
        <v>38.798344649146323</v>
      </c>
      <c r="Q103" s="331"/>
      <c r="R103" s="33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28.5" customHeight="1" x14ac:dyDescent="0.25">
      <c r="A104" s="175" t="s">
        <v>167</v>
      </c>
      <c r="B104" s="22" t="s">
        <v>9</v>
      </c>
      <c r="C104" s="22" t="s">
        <v>12</v>
      </c>
      <c r="D104" s="22" t="s">
        <v>14</v>
      </c>
      <c r="E104" s="22" t="s">
        <v>59</v>
      </c>
      <c r="F104" s="22" t="s">
        <v>22</v>
      </c>
      <c r="G104" s="22" t="s">
        <v>146</v>
      </c>
      <c r="H104" s="22"/>
      <c r="I104" s="23">
        <v>249335.78</v>
      </c>
      <c r="J104" s="34">
        <v>78109.279999999999</v>
      </c>
      <c r="K104" s="34">
        <f>I104-J104</f>
        <v>171226.5</v>
      </c>
      <c r="L104" s="24"/>
      <c r="M104" s="182"/>
      <c r="N104" s="183"/>
      <c r="O104" s="25"/>
      <c r="P104" s="26"/>
      <c r="Q104" s="331"/>
      <c r="R104" s="331"/>
    </row>
    <row r="105" spans="1:50" ht="18.75" x14ac:dyDescent="0.25">
      <c r="A105" s="99" t="s">
        <v>113</v>
      </c>
      <c r="B105" s="22" t="s">
        <v>9</v>
      </c>
      <c r="C105" s="22" t="s">
        <v>12</v>
      </c>
      <c r="D105" s="22" t="s">
        <v>14</v>
      </c>
      <c r="E105" s="22" t="s">
        <v>59</v>
      </c>
      <c r="F105" s="22" t="s">
        <v>22</v>
      </c>
      <c r="G105" s="22" t="s">
        <v>114</v>
      </c>
      <c r="H105" s="22"/>
      <c r="I105" s="23">
        <v>1632600</v>
      </c>
      <c r="J105" s="34">
        <v>652050.65</v>
      </c>
      <c r="K105" s="34">
        <f>I105-J105</f>
        <v>980549.35</v>
      </c>
      <c r="L105" s="93" t="e">
        <f>#REF!</f>
        <v>#REF!</v>
      </c>
      <c r="M105" s="188"/>
      <c r="N105" s="189"/>
      <c r="O105" s="25">
        <f t="shared" si="42"/>
        <v>0</v>
      </c>
      <c r="P105" s="26">
        <f t="shared" si="41"/>
        <v>39.939400343011151</v>
      </c>
      <c r="Q105" s="331"/>
      <c r="R105" s="331"/>
    </row>
    <row r="106" spans="1:50" s="15" customFormat="1" ht="117.75" customHeight="1" x14ac:dyDescent="0.25">
      <c r="A106" s="190" t="s">
        <v>73</v>
      </c>
      <c r="B106" s="41" t="s">
        <v>9</v>
      </c>
      <c r="C106" s="41" t="s">
        <v>12</v>
      </c>
      <c r="D106" s="41" t="s">
        <v>12</v>
      </c>
      <c r="E106" s="41" t="s">
        <v>74</v>
      </c>
      <c r="F106" s="41"/>
      <c r="G106" s="41"/>
      <c r="H106" s="41"/>
      <c r="I106" s="17">
        <f>I108+I107</f>
        <v>383076</v>
      </c>
      <c r="J106" s="17">
        <f t="shared" ref="J106:K106" si="59">J108+J107</f>
        <v>383076</v>
      </c>
      <c r="K106" s="17">
        <f t="shared" si="59"/>
        <v>0</v>
      </c>
      <c r="L106" s="18" t="e">
        <f>L108</f>
        <v>#REF!</v>
      </c>
      <c r="M106" s="186"/>
      <c r="N106" s="187"/>
      <c r="O106" s="20">
        <f>I106-J106-K106</f>
        <v>0</v>
      </c>
      <c r="P106" s="21">
        <f>J106/I106*100</f>
        <v>100</v>
      </c>
      <c r="Q106" s="331"/>
      <c r="R106" s="331"/>
      <c r="Z106" s="1"/>
      <c r="AA106" s="1"/>
      <c r="AB106" s="1"/>
      <c r="AC106" s="1"/>
      <c r="AD106" s="1"/>
    </row>
    <row r="107" spans="1:50" s="15" customFormat="1" ht="18.75" x14ac:dyDescent="0.25">
      <c r="A107" s="99" t="s">
        <v>43</v>
      </c>
      <c r="B107" s="22" t="s">
        <v>9</v>
      </c>
      <c r="C107" s="22" t="s">
        <v>12</v>
      </c>
      <c r="D107" s="22" t="s">
        <v>12</v>
      </c>
      <c r="E107" s="22" t="s">
        <v>74</v>
      </c>
      <c r="F107" s="22" t="s">
        <v>22</v>
      </c>
      <c r="G107" s="22" t="s">
        <v>44</v>
      </c>
      <c r="H107" s="27"/>
      <c r="I107" s="23">
        <v>216000</v>
      </c>
      <c r="J107" s="23">
        <v>216000</v>
      </c>
      <c r="K107" s="34">
        <f>I107-J107</f>
        <v>0</v>
      </c>
      <c r="L107" s="24"/>
      <c r="M107" s="182"/>
      <c r="N107" s="183"/>
      <c r="O107" s="30">
        <f t="shared" si="42"/>
        <v>0</v>
      </c>
      <c r="P107" s="31">
        <f>J107/I107*100</f>
        <v>100</v>
      </c>
      <c r="Q107" s="338"/>
      <c r="R107" s="339"/>
      <c r="Z107" s="1"/>
      <c r="AA107" s="1"/>
      <c r="AB107" s="1"/>
      <c r="AC107" s="1"/>
      <c r="AD107" s="1"/>
    </row>
    <row r="108" spans="1:50" ht="18.75" x14ac:dyDescent="0.25">
      <c r="A108" s="99" t="s">
        <v>113</v>
      </c>
      <c r="B108" s="22" t="s">
        <v>9</v>
      </c>
      <c r="C108" s="22" t="s">
        <v>12</v>
      </c>
      <c r="D108" s="22" t="s">
        <v>12</v>
      </c>
      <c r="E108" s="22" t="s">
        <v>74</v>
      </c>
      <c r="F108" s="22" t="s">
        <v>22</v>
      </c>
      <c r="G108" s="22" t="s">
        <v>114</v>
      </c>
      <c r="H108" s="22"/>
      <c r="I108" s="23">
        <v>167076</v>
      </c>
      <c r="J108" s="23">
        <v>167076</v>
      </c>
      <c r="K108" s="34">
        <f>I108-J108</f>
        <v>0</v>
      </c>
      <c r="L108" s="24" t="e">
        <f>#REF!</f>
        <v>#REF!</v>
      </c>
      <c r="M108" s="182"/>
      <c r="N108" s="183"/>
      <c r="O108" s="25">
        <f t="shared" si="42"/>
        <v>0</v>
      </c>
      <c r="P108" s="26">
        <f>J108/I108*100</f>
        <v>100</v>
      </c>
      <c r="Q108" s="331"/>
      <c r="R108" s="331"/>
    </row>
    <row r="109" spans="1:50" s="2" customFormat="1" ht="19.5" customHeight="1" x14ac:dyDescent="0.3">
      <c r="A109" s="333" t="s">
        <v>60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5"/>
      <c r="Q109" s="340"/>
      <c r="R109" s="340"/>
    </row>
    <row r="110" spans="1:50" ht="78" x14ac:dyDescent="0.25">
      <c r="A110" s="51" t="s">
        <v>8</v>
      </c>
      <c r="B110" s="52" t="s">
        <v>9</v>
      </c>
      <c r="C110" s="52"/>
      <c r="D110" s="52"/>
      <c r="E110" s="52"/>
      <c r="F110" s="52"/>
      <c r="G110" s="52"/>
      <c r="H110" s="52"/>
      <c r="I110" s="53">
        <f>I111+I125+I132+I137+I135+I142+I146+I149+I144</f>
        <v>781959.98</v>
      </c>
      <c r="J110" s="53">
        <f>J111+J125+J132+J137+J135+J149+J142+J146+J144</f>
        <v>388074.88</v>
      </c>
      <c r="K110" s="53">
        <f>K111+K125+K132+K137+K135+K142+K146+K149+K144</f>
        <v>393885.10000000003</v>
      </c>
      <c r="L110" s="53" t="e">
        <f t="shared" ref="L110:N110" si="60">L111+L125</f>
        <v>#REF!</v>
      </c>
      <c r="M110" s="53" t="e">
        <f t="shared" si="60"/>
        <v>#REF!</v>
      </c>
      <c r="N110" s="53" t="e">
        <f t="shared" si="60"/>
        <v>#REF!</v>
      </c>
      <c r="O110" s="53">
        <f>I110-J110-K110</f>
        <v>0</v>
      </c>
      <c r="P110" s="54">
        <f t="shared" ref="P110:P125" si="61">J110/I110*100</f>
        <v>49.628483544643807</v>
      </c>
      <c r="Q110" s="331"/>
      <c r="R110" s="331"/>
    </row>
    <row r="111" spans="1:50" ht="19.5" x14ac:dyDescent="0.25">
      <c r="A111" s="173" t="s">
        <v>11</v>
      </c>
      <c r="B111" s="8" t="s">
        <v>9</v>
      </c>
      <c r="C111" s="8" t="s">
        <v>12</v>
      </c>
      <c r="D111" s="8"/>
      <c r="E111" s="8"/>
      <c r="F111" s="8"/>
      <c r="G111" s="8"/>
      <c r="H111" s="8"/>
      <c r="I111" s="9">
        <f>I112+I116+I119+I122+I114+I151</f>
        <v>537217.12</v>
      </c>
      <c r="J111" s="9">
        <f>J112+J116+J119+J122+J114+J151</f>
        <v>229793.26</v>
      </c>
      <c r="K111" s="9">
        <f>K112+K116+K119+K122+K114+K151</f>
        <v>307423.86</v>
      </c>
      <c r="L111" s="10" t="e">
        <f>L112+#REF!</f>
        <v>#REF!</v>
      </c>
      <c r="M111" s="197"/>
      <c r="N111" s="198"/>
      <c r="O111" s="11">
        <f>I111-J111-K111</f>
        <v>0</v>
      </c>
      <c r="P111" s="12">
        <f t="shared" si="61"/>
        <v>42.774746270185879</v>
      </c>
      <c r="Q111" s="331"/>
      <c r="R111" s="331"/>
    </row>
    <row r="112" spans="1:50" ht="120.75" customHeight="1" x14ac:dyDescent="0.25">
      <c r="A112" s="190" t="s">
        <v>61</v>
      </c>
      <c r="B112" s="41" t="s">
        <v>9</v>
      </c>
      <c r="C112" s="41" t="s">
        <v>12</v>
      </c>
      <c r="D112" s="41" t="s">
        <v>14</v>
      </c>
      <c r="E112" s="41" t="s">
        <v>62</v>
      </c>
      <c r="F112" s="41"/>
      <c r="G112" s="41"/>
      <c r="H112" s="41"/>
      <c r="I112" s="17">
        <f>I113</f>
        <v>13261.15</v>
      </c>
      <c r="J112" s="17">
        <f t="shared" ref="J112:L114" si="62">J113</f>
        <v>8890.15</v>
      </c>
      <c r="K112" s="17">
        <f t="shared" si="62"/>
        <v>4371</v>
      </c>
      <c r="L112" s="18" t="e">
        <f t="shared" si="62"/>
        <v>#REF!</v>
      </c>
      <c r="M112" s="186"/>
      <c r="N112" s="187"/>
      <c r="O112" s="20">
        <f>I112-J112-K112</f>
        <v>0</v>
      </c>
      <c r="P112" s="21">
        <f t="shared" si="61"/>
        <v>67.039057698615878</v>
      </c>
      <c r="Q112" s="331"/>
      <c r="R112" s="331"/>
      <c r="S112" s="15"/>
    </row>
    <row r="113" spans="1:50" ht="23.25" customHeight="1" x14ac:dyDescent="0.25">
      <c r="A113" s="99" t="s">
        <v>113</v>
      </c>
      <c r="B113" s="22" t="s">
        <v>9</v>
      </c>
      <c r="C113" s="22" t="s">
        <v>12</v>
      </c>
      <c r="D113" s="22" t="s">
        <v>14</v>
      </c>
      <c r="E113" s="43" t="s">
        <v>62</v>
      </c>
      <c r="F113" s="22" t="s">
        <v>63</v>
      </c>
      <c r="G113" s="22" t="s">
        <v>114</v>
      </c>
      <c r="H113" s="22"/>
      <c r="I113" s="23">
        <v>13261.15</v>
      </c>
      <c r="J113" s="34">
        <v>8890.15</v>
      </c>
      <c r="K113" s="34">
        <f>I113-J113</f>
        <v>4371</v>
      </c>
      <c r="L113" s="24" t="e">
        <f>#REF!</f>
        <v>#REF!</v>
      </c>
      <c r="M113" s="184"/>
      <c r="N113" s="185"/>
      <c r="O113" s="25">
        <f>I113-K113-J113</f>
        <v>0</v>
      </c>
      <c r="P113" s="26">
        <f t="shared" si="61"/>
        <v>67.039057698615878</v>
      </c>
      <c r="Q113" s="331"/>
      <c r="R113" s="331"/>
      <c r="Z113" s="15"/>
      <c r="AA113" s="15"/>
      <c r="AB113" s="15"/>
      <c r="AC113" s="15"/>
      <c r="AD113" s="15"/>
    </row>
    <row r="114" spans="1:50" ht="106.5" customHeight="1" x14ac:dyDescent="0.25">
      <c r="A114" s="190" t="s">
        <v>141</v>
      </c>
      <c r="B114" s="41" t="s">
        <v>9</v>
      </c>
      <c r="C114" s="41" t="s">
        <v>12</v>
      </c>
      <c r="D114" s="41" t="s">
        <v>14</v>
      </c>
      <c r="E114" s="41" t="s">
        <v>136</v>
      </c>
      <c r="F114" s="41"/>
      <c r="G114" s="41"/>
      <c r="H114" s="41"/>
      <c r="I114" s="17">
        <f>I115</f>
        <v>355955.97</v>
      </c>
      <c r="J114" s="17">
        <f t="shared" si="62"/>
        <v>107903.11</v>
      </c>
      <c r="K114" s="17">
        <f t="shared" si="62"/>
        <v>248052.86</v>
      </c>
      <c r="L114" s="18" t="e">
        <f t="shared" si="62"/>
        <v>#REF!</v>
      </c>
      <c r="M114" s="186"/>
      <c r="N114" s="187"/>
      <c r="O114" s="20">
        <f>I114-J114-K114</f>
        <v>0</v>
      </c>
      <c r="P114" s="21">
        <f t="shared" si="61"/>
        <v>30.31361154021381</v>
      </c>
      <c r="Q114" s="331"/>
      <c r="R114" s="331"/>
      <c r="Z114" s="15"/>
      <c r="AA114" s="15"/>
      <c r="AB114" s="15"/>
      <c r="AC114" s="15"/>
      <c r="AD114" s="15"/>
    </row>
    <row r="115" spans="1:50" ht="23.25" customHeight="1" x14ac:dyDescent="0.25">
      <c r="A115" s="99" t="s">
        <v>113</v>
      </c>
      <c r="B115" s="22" t="s">
        <v>9</v>
      </c>
      <c r="C115" s="22" t="s">
        <v>12</v>
      </c>
      <c r="D115" s="22" t="s">
        <v>14</v>
      </c>
      <c r="E115" s="43" t="s">
        <v>136</v>
      </c>
      <c r="F115" s="22" t="s">
        <v>63</v>
      </c>
      <c r="G115" s="22" t="s">
        <v>114</v>
      </c>
      <c r="H115" s="22"/>
      <c r="I115" s="23">
        <v>355955.97</v>
      </c>
      <c r="J115" s="34">
        <v>107903.11</v>
      </c>
      <c r="K115" s="34">
        <f>I115-J115</f>
        <v>248052.86</v>
      </c>
      <c r="L115" s="24" t="e">
        <f>#REF!</f>
        <v>#REF!</v>
      </c>
      <c r="M115" s="184"/>
      <c r="N115" s="185"/>
      <c r="O115" s="25">
        <f>I115-K115-J115</f>
        <v>0</v>
      </c>
      <c r="P115" s="26">
        <f t="shared" si="61"/>
        <v>30.31361154021381</v>
      </c>
      <c r="Q115" s="331"/>
      <c r="R115" s="331"/>
      <c r="Z115" s="15"/>
      <c r="AA115" s="15"/>
      <c r="AB115" s="15"/>
      <c r="AC115" s="15"/>
      <c r="AD115" s="15"/>
    </row>
    <row r="116" spans="1:50" s="2" customFormat="1" ht="80.25" customHeight="1" x14ac:dyDescent="0.25">
      <c r="A116" s="190" t="s">
        <v>117</v>
      </c>
      <c r="B116" s="41" t="s">
        <v>9</v>
      </c>
      <c r="C116" s="41" t="s">
        <v>12</v>
      </c>
      <c r="D116" s="41" t="s">
        <v>12</v>
      </c>
      <c r="E116" s="41" t="s">
        <v>90</v>
      </c>
      <c r="F116" s="41"/>
      <c r="G116" s="16"/>
      <c r="H116" s="16"/>
      <c r="I116" s="17">
        <f>I117+I118</f>
        <v>65000</v>
      </c>
      <c r="J116" s="17">
        <f t="shared" ref="J116:K116" si="63">J117+J118</f>
        <v>25000</v>
      </c>
      <c r="K116" s="17">
        <f t="shared" si="63"/>
        <v>40000</v>
      </c>
      <c r="L116" s="69"/>
      <c r="M116" s="186"/>
      <c r="N116" s="187"/>
      <c r="O116" s="20">
        <v>0</v>
      </c>
      <c r="P116" s="21">
        <f t="shared" si="61"/>
        <v>38.461538461538467</v>
      </c>
      <c r="Q116" s="331"/>
      <c r="R116" s="331"/>
      <c r="S116" s="1"/>
      <c r="T116" s="15"/>
      <c r="U116" s="15"/>
      <c r="V116" s="15"/>
      <c r="W116" s="15"/>
      <c r="X116" s="15"/>
      <c r="Y116" s="1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2" customFormat="1" ht="39.75" customHeight="1" x14ac:dyDescent="0.25">
      <c r="A117" s="175" t="s">
        <v>109</v>
      </c>
      <c r="B117" s="22" t="s">
        <v>9</v>
      </c>
      <c r="C117" s="22" t="s">
        <v>12</v>
      </c>
      <c r="D117" s="22" t="s">
        <v>12</v>
      </c>
      <c r="E117" s="43" t="s">
        <v>90</v>
      </c>
      <c r="F117" s="22" t="s">
        <v>63</v>
      </c>
      <c r="G117" s="22" t="s">
        <v>104</v>
      </c>
      <c r="H117" s="22"/>
      <c r="I117" s="23">
        <v>22000</v>
      </c>
      <c r="J117" s="34">
        <v>17000</v>
      </c>
      <c r="K117" s="35">
        <f>I117-J117</f>
        <v>5000</v>
      </c>
      <c r="L117" s="57"/>
      <c r="M117" s="188"/>
      <c r="N117" s="189"/>
      <c r="O117" s="25">
        <f>O118</f>
        <v>0</v>
      </c>
      <c r="P117" s="26">
        <f t="shared" si="61"/>
        <v>77.272727272727266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40.5" customHeight="1" x14ac:dyDescent="0.25">
      <c r="A118" s="175" t="s">
        <v>110</v>
      </c>
      <c r="B118" s="22" t="s">
        <v>9</v>
      </c>
      <c r="C118" s="22" t="s">
        <v>12</v>
      </c>
      <c r="D118" s="22" t="s">
        <v>12</v>
      </c>
      <c r="E118" s="43" t="s">
        <v>90</v>
      </c>
      <c r="F118" s="22" t="s">
        <v>63</v>
      </c>
      <c r="G118" s="22" t="s">
        <v>105</v>
      </c>
      <c r="H118" s="22"/>
      <c r="I118" s="23">
        <v>43000</v>
      </c>
      <c r="J118" s="34">
        <v>8000</v>
      </c>
      <c r="K118" s="35">
        <f>I118-J118</f>
        <v>35000</v>
      </c>
      <c r="L118" s="49"/>
      <c r="M118" s="188"/>
      <c r="N118" s="189"/>
      <c r="O118" s="25">
        <f>I118-J118-K118</f>
        <v>0</v>
      </c>
      <c r="P118" s="26">
        <f t="shared" si="61"/>
        <v>18.604651162790699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91.5" customHeight="1" x14ac:dyDescent="0.25">
      <c r="A119" s="190" t="s">
        <v>118</v>
      </c>
      <c r="B119" s="41" t="s">
        <v>9</v>
      </c>
      <c r="C119" s="41" t="s">
        <v>12</v>
      </c>
      <c r="D119" s="41" t="s">
        <v>12</v>
      </c>
      <c r="E119" s="16" t="s">
        <v>115</v>
      </c>
      <c r="F119" s="41"/>
      <c r="G119" s="16"/>
      <c r="H119" s="16"/>
      <c r="I119" s="17">
        <f>I120+I121</f>
        <v>13000</v>
      </c>
      <c r="J119" s="17">
        <f t="shared" ref="J119:K119" si="64">J120+J121</f>
        <v>8000</v>
      </c>
      <c r="K119" s="17">
        <f t="shared" si="64"/>
        <v>5000</v>
      </c>
      <c r="L119" s="69"/>
      <c r="M119" s="186"/>
      <c r="N119" s="187"/>
      <c r="O119" s="20">
        <v>0</v>
      </c>
      <c r="P119" s="21">
        <f t="shared" si="61"/>
        <v>61.53846153846154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39.75" customHeight="1" x14ac:dyDescent="0.25">
      <c r="A120" s="175" t="s">
        <v>109</v>
      </c>
      <c r="B120" s="22" t="s">
        <v>9</v>
      </c>
      <c r="C120" s="22" t="s">
        <v>12</v>
      </c>
      <c r="D120" s="22" t="s">
        <v>12</v>
      </c>
      <c r="E120" s="43" t="s">
        <v>115</v>
      </c>
      <c r="F120" s="22" t="s">
        <v>63</v>
      </c>
      <c r="G120" s="22" t="s">
        <v>104</v>
      </c>
      <c r="H120" s="22"/>
      <c r="I120" s="23">
        <v>7000</v>
      </c>
      <c r="J120" s="34">
        <v>2000</v>
      </c>
      <c r="K120" s="35">
        <f>I120-J120</f>
        <v>5000</v>
      </c>
      <c r="L120" s="57"/>
      <c r="M120" s="188"/>
      <c r="N120" s="189"/>
      <c r="O120" s="25">
        <f>O121</f>
        <v>0</v>
      </c>
      <c r="P120" s="26">
        <f t="shared" si="61"/>
        <v>28.571428571428569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40.5" customHeight="1" x14ac:dyDescent="0.25">
      <c r="A121" s="175" t="s">
        <v>110</v>
      </c>
      <c r="B121" s="22" t="s">
        <v>9</v>
      </c>
      <c r="C121" s="22" t="s">
        <v>12</v>
      </c>
      <c r="D121" s="22" t="s">
        <v>12</v>
      </c>
      <c r="E121" s="43" t="s">
        <v>115</v>
      </c>
      <c r="F121" s="22" t="s">
        <v>63</v>
      </c>
      <c r="G121" s="22" t="s">
        <v>105</v>
      </c>
      <c r="H121" s="22"/>
      <c r="I121" s="23">
        <v>6000</v>
      </c>
      <c r="J121" s="34">
        <v>6000</v>
      </c>
      <c r="K121" s="35">
        <f>I121-J121</f>
        <v>0</v>
      </c>
      <c r="L121" s="49"/>
      <c r="M121" s="188"/>
      <c r="N121" s="189"/>
      <c r="O121" s="25">
        <f>I121-J121-K121</f>
        <v>0</v>
      </c>
      <c r="P121" s="26">
        <f t="shared" si="61"/>
        <v>100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88.5" customHeight="1" x14ac:dyDescent="0.25">
      <c r="A122" s="190" t="s">
        <v>119</v>
      </c>
      <c r="B122" s="41" t="s">
        <v>9</v>
      </c>
      <c r="C122" s="41" t="s">
        <v>12</v>
      </c>
      <c r="D122" s="41" t="s">
        <v>85</v>
      </c>
      <c r="E122" s="16" t="s">
        <v>116</v>
      </c>
      <c r="F122" s="41"/>
      <c r="G122" s="16"/>
      <c r="H122" s="16"/>
      <c r="I122" s="17">
        <f>I123+I124</f>
        <v>27000</v>
      </c>
      <c r="J122" s="17">
        <f t="shared" ref="J122:K122" si="65">J123+J124</f>
        <v>17000</v>
      </c>
      <c r="K122" s="17">
        <f t="shared" si="65"/>
        <v>10000</v>
      </c>
      <c r="L122" s="69"/>
      <c r="M122" s="186"/>
      <c r="N122" s="187"/>
      <c r="O122" s="20">
        <v>0</v>
      </c>
      <c r="P122" s="21">
        <f t="shared" si="61"/>
        <v>62.962962962962962</v>
      </c>
      <c r="Q122" s="331"/>
      <c r="R122" s="331"/>
      <c r="S122" s="1"/>
      <c r="T122" s="15"/>
      <c r="U122" s="15"/>
      <c r="V122" s="15"/>
      <c r="W122" s="15"/>
      <c r="X122" s="15"/>
      <c r="Y122" s="1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39.75" customHeight="1" x14ac:dyDescent="0.25">
      <c r="A123" s="175" t="s">
        <v>109</v>
      </c>
      <c r="B123" s="22" t="s">
        <v>9</v>
      </c>
      <c r="C123" s="22" t="s">
        <v>12</v>
      </c>
      <c r="D123" s="22" t="s">
        <v>85</v>
      </c>
      <c r="E123" s="43" t="s">
        <v>116</v>
      </c>
      <c r="F123" s="22" t="s">
        <v>63</v>
      </c>
      <c r="G123" s="22" t="s">
        <v>104</v>
      </c>
      <c r="H123" s="22"/>
      <c r="I123" s="23">
        <v>7000</v>
      </c>
      <c r="J123" s="34">
        <v>3000</v>
      </c>
      <c r="K123" s="35">
        <f>I123-J123</f>
        <v>4000</v>
      </c>
      <c r="L123" s="57"/>
      <c r="M123" s="188"/>
      <c r="N123" s="189"/>
      <c r="O123" s="25">
        <f>O124</f>
        <v>0</v>
      </c>
      <c r="P123" s="26">
        <f t="shared" si="61"/>
        <v>42.857142857142854</v>
      </c>
      <c r="Q123" s="331"/>
      <c r="R123" s="331"/>
      <c r="S123" s="1"/>
      <c r="T123" s="15"/>
      <c r="U123" s="15"/>
      <c r="V123" s="15"/>
      <c r="W123" s="15"/>
      <c r="X123" s="15"/>
      <c r="Y123" s="1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40.5" customHeight="1" x14ac:dyDescent="0.25">
      <c r="A124" s="175" t="s">
        <v>110</v>
      </c>
      <c r="B124" s="22" t="s">
        <v>9</v>
      </c>
      <c r="C124" s="22" t="s">
        <v>12</v>
      </c>
      <c r="D124" s="22" t="s">
        <v>85</v>
      </c>
      <c r="E124" s="43" t="s">
        <v>116</v>
      </c>
      <c r="F124" s="22" t="s">
        <v>63</v>
      </c>
      <c r="G124" s="22" t="s">
        <v>105</v>
      </c>
      <c r="H124" s="22"/>
      <c r="I124" s="23">
        <v>20000</v>
      </c>
      <c r="J124" s="34">
        <v>14000</v>
      </c>
      <c r="K124" s="35">
        <f>I124-J124</f>
        <v>6000</v>
      </c>
      <c r="L124" s="49"/>
      <c r="M124" s="188"/>
      <c r="N124" s="189"/>
      <c r="O124" s="25">
        <f>I124-J124-K124</f>
        <v>0</v>
      </c>
      <c r="P124" s="26">
        <f t="shared" si="61"/>
        <v>70</v>
      </c>
      <c r="Q124" s="331"/>
      <c r="R124" s="331"/>
      <c r="S124" s="1"/>
      <c r="T124" s="15"/>
      <c r="U124" s="15"/>
      <c r="V124" s="15"/>
      <c r="W124" s="15"/>
      <c r="X124" s="15"/>
      <c r="Y124" s="1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59.25" customHeight="1" x14ac:dyDescent="0.25">
      <c r="A125" s="86" t="s">
        <v>67</v>
      </c>
      <c r="B125" s="41" t="s">
        <v>9</v>
      </c>
      <c r="C125" s="41" t="s">
        <v>68</v>
      </c>
      <c r="D125" s="41" t="s">
        <v>69</v>
      </c>
      <c r="E125" s="41" t="s">
        <v>70</v>
      </c>
      <c r="F125" s="41"/>
      <c r="G125" s="41"/>
      <c r="H125" s="41"/>
      <c r="I125" s="17">
        <f>I126+I128+I130+I131+I127+I129</f>
        <v>65000</v>
      </c>
      <c r="J125" s="17">
        <f>J126+J128+J130+J131+J127+J129</f>
        <v>40352</v>
      </c>
      <c r="K125" s="17">
        <f>K126+K128+K130+K131+K127+K129</f>
        <v>24648</v>
      </c>
      <c r="L125" s="17" t="e">
        <f>L126+#REF!+#REF!</f>
        <v>#REF!</v>
      </c>
      <c r="M125" s="17" t="e">
        <f>M126+#REF!+#REF!</f>
        <v>#REF!</v>
      </c>
      <c r="N125" s="17" t="e">
        <f>N126+#REF!+#REF!</f>
        <v>#REF!</v>
      </c>
      <c r="O125" s="89">
        <f>I125-J125-K125</f>
        <v>0</v>
      </c>
      <c r="P125" s="21">
        <f t="shared" si="61"/>
        <v>62.08</v>
      </c>
      <c r="Q125" s="331"/>
      <c r="R125" s="33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18.75" x14ac:dyDescent="0.25">
      <c r="A126" s="175" t="s">
        <v>43</v>
      </c>
      <c r="B126" s="22" t="s">
        <v>9</v>
      </c>
      <c r="C126" s="22" t="s">
        <v>68</v>
      </c>
      <c r="D126" s="22" t="s">
        <v>69</v>
      </c>
      <c r="E126" s="22" t="s">
        <v>70</v>
      </c>
      <c r="F126" s="22" t="s">
        <v>63</v>
      </c>
      <c r="G126" s="22" t="s">
        <v>44</v>
      </c>
      <c r="H126" s="22"/>
      <c r="I126" s="23">
        <v>32600</v>
      </c>
      <c r="J126" s="23">
        <v>32000</v>
      </c>
      <c r="K126" s="23">
        <f>I126-J126</f>
        <v>600</v>
      </c>
      <c r="L126" s="93"/>
      <c r="M126" s="188"/>
      <c r="N126" s="189"/>
      <c r="O126" s="25">
        <f>I126-J126-K126</f>
        <v>0</v>
      </c>
      <c r="P126" s="26">
        <f>J126/I126*100</f>
        <v>98.159509202453989</v>
      </c>
      <c r="Q126" s="331"/>
      <c r="R126" s="331"/>
      <c r="S126" s="15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18.75" x14ac:dyDescent="0.25">
      <c r="A127" s="175" t="s">
        <v>123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124</v>
      </c>
      <c r="H127" s="22"/>
      <c r="I127" s="23">
        <v>7500</v>
      </c>
      <c r="J127" s="34">
        <v>600</v>
      </c>
      <c r="K127" s="23">
        <f t="shared" ref="K127:K131" si="66">I127-J127</f>
        <v>6900</v>
      </c>
      <c r="L127" s="93"/>
      <c r="M127" s="188"/>
      <c r="N127" s="189"/>
      <c r="O127" s="25">
        <f t="shared" ref="O127:O139" si="67">I127-J127-K127</f>
        <v>0</v>
      </c>
      <c r="P127" s="26">
        <f>J127/I127*100</f>
        <v>8</v>
      </c>
      <c r="Q127" s="338"/>
      <c r="R127" s="339"/>
      <c r="S127" s="15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37.5" x14ac:dyDescent="0.25">
      <c r="A128" s="175" t="s">
        <v>106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101</v>
      </c>
      <c r="H128" s="22"/>
      <c r="I128" s="23">
        <v>2500</v>
      </c>
      <c r="J128" s="34">
        <v>0</v>
      </c>
      <c r="K128" s="23">
        <f t="shared" si="66"/>
        <v>2500</v>
      </c>
      <c r="L128" s="93"/>
      <c r="M128" s="188"/>
      <c r="N128" s="189"/>
      <c r="O128" s="25">
        <f t="shared" si="67"/>
        <v>0</v>
      </c>
      <c r="P128" s="26">
        <v>0</v>
      </c>
      <c r="Q128" s="331"/>
      <c r="R128" s="3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18.75" x14ac:dyDescent="0.25">
      <c r="A129" s="175" t="s">
        <v>108</v>
      </c>
      <c r="B129" s="22" t="s">
        <v>9</v>
      </c>
      <c r="C129" s="22" t="s">
        <v>68</v>
      </c>
      <c r="D129" s="22" t="s">
        <v>69</v>
      </c>
      <c r="E129" s="22" t="s">
        <v>70</v>
      </c>
      <c r="F129" s="22" t="s">
        <v>63</v>
      </c>
      <c r="G129" s="22" t="s">
        <v>103</v>
      </c>
      <c r="H129" s="22"/>
      <c r="I129" s="23">
        <v>0</v>
      </c>
      <c r="J129" s="34">
        <v>0</v>
      </c>
      <c r="K129" s="23">
        <f t="shared" si="66"/>
        <v>0</v>
      </c>
      <c r="L129" s="93"/>
      <c r="M129" s="188"/>
      <c r="N129" s="189"/>
      <c r="O129" s="25">
        <f t="shared" si="67"/>
        <v>0</v>
      </c>
      <c r="P129" s="26"/>
      <c r="Q129" s="251"/>
      <c r="R129" s="25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37.5" customHeight="1" x14ac:dyDescent="0.25">
      <c r="A130" s="175" t="s">
        <v>109</v>
      </c>
      <c r="B130" s="22" t="s">
        <v>9</v>
      </c>
      <c r="C130" s="22" t="s">
        <v>68</v>
      </c>
      <c r="D130" s="22" t="s">
        <v>69</v>
      </c>
      <c r="E130" s="22" t="s">
        <v>70</v>
      </c>
      <c r="F130" s="22" t="s">
        <v>63</v>
      </c>
      <c r="G130" s="22" t="s">
        <v>104</v>
      </c>
      <c r="H130" s="22"/>
      <c r="I130" s="23">
        <v>12400</v>
      </c>
      <c r="J130" s="34">
        <v>0</v>
      </c>
      <c r="K130" s="23">
        <f t="shared" si="66"/>
        <v>12400</v>
      </c>
      <c r="L130" s="93"/>
      <c r="M130" s="188"/>
      <c r="N130" s="189"/>
      <c r="O130" s="25">
        <f t="shared" si="67"/>
        <v>0</v>
      </c>
      <c r="P130" s="26">
        <v>0</v>
      </c>
      <c r="Q130" s="331"/>
      <c r="R130" s="33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37.5" x14ac:dyDescent="0.25">
      <c r="A131" s="175" t="s">
        <v>110</v>
      </c>
      <c r="B131" s="22" t="s">
        <v>9</v>
      </c>
      <c r="C131" s="22" t="s">
        <v>68</v>
      </c>
      <c r="D131" s="22" t="s">
        <v>69</v>
      </c>
      <c r="E131" s="22" t="s">
        <v>70</v>
      </c>
      <c r="F131" s="22" t="s">
        <v>63</v>
      </c>
      <c r="G131" s="22" t="s">
        <v>105</v>
      </c>
      <c r="H131" s="22"/>
      <c r="I131" s="23">
        <v>10000</v>
      </c>
      <c r="J131" s="34">
        <v>7752</v>
      </c>
      <c r="K131" s="23">
        <f t="shared" si="66"/>
        <v>2248</v>
      </c>
      <c r="L131" s="93"/>
      <c r="M131" s="188"/>
      <c r="N131" s="189"/>
      <c r="O131" s="25">
        <f t="shared" si="67"/>
        <v>0</v>
      </c>
      <c r="P131" s="26">
        <f t="shared" ref="P131:P152" si="68">J131/I131*100</f>
        <v>77.52</v>
      </c>
      <c r="Q131" s="331"/>
      <c r="R131" s="3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82.5" hidden="1" customHeight="1" x14ac:dyDescent="0.25">
      <c r="A132" s="190" t="s">
        <v>125</v>
      </c>
      <c r="B132" s="41" t="s">
        <v>9</v>
      </c>
      <c r="C132" s="41" t="s">
        <v>12</v>
      </c>
      <c r="D132" s="41" t="s">
        <v>12</v>
      </c>
      <c r="E132" s="41" t="s">
        <v>126</v>
      </c>
      <c r="F132" s="41"/>
      <c r="G132" s="16"/>
      <c r="H132" s="16"/>
      <c r="I132" s="17">
        <f>I133+I134</f>
        <v>0</v>
      </c>
      <c r="J132" s="17">
        <f t="shared" ref="J132:K132" si="69">J133+J134</f>
        <v>0</v>
      </c>
      <c r="K132" s="17">
        <f t="shared" si="69"/>
        <v>0</v>
      </c>
      <c r="L132" s="69"/>
      <c r="M132" s="186"/>
      <c r="N132" s="187"/>
      <c r="O132" s="20">
        <f t="shared" si="67"/>
        <v>0</v>
      </c>
      <c r="P132" s="21" t="e">
        <f t="shared" si="68"/>
        <v>#DIV/0!</v>
      </c>
      <c r="Q132" s="321"/>
      <c r="R132" s="32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18.75" hidden="1" x14ac:dyDescent="0.25">
      <c r="A133" s="175" t="s">
        <v>27</v>
      </c>
      <c r="B133" s="22" t="s">
        <v>9</v>
      </c>
      <c r="C133" s="22" t="s">
        <v>12</v>
      </c>
      <c r="D133" s="22" t="s">
        <v>12</v>
      </c>
      <c r="E133" s="43" t="s">
        <v>126</v>
      </c>
      <c r="F133" s="22" t="s">
        <v>63</v>
      </c>
      <c r="G133" s="22" t="s">
        <v>28</v>
      </c>
      <c r="H133" s="22"/>
      <c r="I133" s="121">
        <v>0</v>
      </c>
      <c r="J133" s="122">
        <v>0</v>
      </c>
      <c r="K133" s="35">
        <f>I133-J133</f>
        <v>0</v>
      </c>
      <c r="L133" s="57"/>
      <c r="M133" s="188"/>
      <c r="N133" s="189"/>
      <c r="O133" s="25">
        <f t="shared" si="67"/>
        <v>0</v>
      </c>
      <c r="P133" s="26" t="e">
        <f t="shared" si="68"/>
        <v>#DIV/0!</v>
      </c>
      <c r="Q133" s="325"/>
      <c r="R133" s="326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18.75" hidden="1" x14ac:dyDescent="0.25">
      <c r="A134" s="99" t="s">
        <v>31</v>
      </c>
      <c r="B134" s="22" t="s">
        <v>9</v>
      </c>
      <c r="C134" s="22" t="s">
        <v>12</v>
      </c>
      <c r="D134" s="22" t="s">
        <v>12</v>
      </c>
      <c r="E134" s="43" t="s">
        <v>126</v>
      </c>
      <c r="F134" s="22" t="s">
        <v>63</v>
      </c>
      <c r="G134" s="22" t="s">
        <v>32</v>
      </c>
      <c r="H134" s="22"/>
      <c r="I134" s="121">
        <v>0</v>
      </c>
      <c r="J134" s="122">
        <v>0</v>
      </c>
      <c r="K134" s="35">
        <f>I134-J134</f>
        <v>0</v>
      </c>
      <c r="L134" s="49"/>
      <c r="M134" s="188"/>
      <c r="N134" s="189"/>
      <c r="O134" s="25">
        <f t="shared" si="67"/>
        <v>0</v>
      </c>
      <c r="P134" s="26" t="e">
        <f t="shared" si="68"/>
        <v>#DIV/0!</v>
      </c>
      <c r="Q134" s="323"/>
      <c r="R134" s="32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65.25" customHeight="1" x14ac:dyDescent="0.25">
      <c r="A135" s="199" t="s">
        <v>142</v>
      </c>
      <c r="B135" s="104" t="s">
        <v>9</v>
      </c>
      <c r="C135" s="104" t="s">
        <v>68</v>
      </c>
      <c r="D135" s="104" t="s">
        <v>14</v>
      </c>
      <c r="E135" s="104" t="s">
        <v>137</v>
      </c>
      <c r="F135" s="104"/>
      <c r="G135" s="105"/>
      <c r="H135" s="105"/>
      <c r="I135" s="17">
        <f>I136</f>
        <v>40000</v>
      </c>
      <c r="J135" s="17">
        <f t="shared" ref="J135:K135" si="70">J136</f>
        <v>0</v>
      </c>
      <c r="K135" s="17">
        <f t="shared" si="70"/>
        <v>40000</v>
      </c>
      <c r="L135" s="115"/>
      <c r="M135" s="195"/>
      <c r="N135" s="196"/>
      <c r="O135" s="20">
        <f>I135-J135-K135</f>
        <v>0</v>
      </c>
      <c r="P135" s="21">
        <f t="shared" si="68"/>
        <v>0</v>
      </c>
      <c r="Q135" s="321"/>
      <c r="R135" s="32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49.5" customHeight="1" x14ac:dyDescent="0.25">
      <c r="A136" s="175" t="s">
        <v>109</v>
      </c>
      <c r="B136" s="112" t="s">
        <v>9</v>
      </c>
      <c r="C136" s="112" t="s">
        <v>68</v>
      </c>
      <c r="D136" s="112" t="s">
        <v>14</v>
      </c>
      <c r="E136" s="113" t="s">
        <v>137</v>
      </c>
      <c r="F136" s="112" t="s">
        <v>63</v>
      </c>
      <c r="G136" s="112" t="s">
        <v>104</v>
      </c>
      <c r="H136" s="112"/>
      <c r="I136" s="23">
        <v>40000</v>
      </c>
      <c r="J136" s="34">
        <v>0</v>
      </c>
      <c r="K136" s="35">
        <f t="shared" ref="K136:K138" si="71">I136-J136</f>
        <v>40000</v>
      </c>
      <c r="L136" s="114"/>
      <c r="M136" s="188"/>
      <c r="N136" s="189"/>
      <c r="O136" s="25">
        <f t="shared" si="67"/>
        <v>0</v>
      </c>
      <c r="P136" s="26">
        <f t="shared" si="68"/>
        <v>0</v>
      </c>
      <c r="Q136" s="323"/>
      <c r="R136" s="32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60" hidden="1" customHeight="1" x14ac:dyDescent="0.25">
      <c r="A137" s="199" t="s">
        <v>143</v>
      </c>
      <c r="B137" s="104" t="s">
        <v>9</v>
      </c>
      <c r="C137" s="104" t="s">
        <v>12</v>
      </c>
      <c r="D137" s="104" t="s">
        <v>14</v>
      </c>
      <c r="E137" s="104" t="s">
        <v>138</v>
      </c>
      <c r="F137" s="104"/>
      <c r="G137" s="104"/>
      <c r="H137" s="104"/>
      <c r="I137" s="106">
        <f>I138</f>
        <v>0</v>
      </c>
      <c r="J137" s="106">
        <f t="shared" ref="J137:K137" si="72">J138</f>
        <v>0</v>
      </c>
      <c r="K137" s="106">
        <f t="shared" si="72"/>
        <v>0</v>
      </c>
      <c r="L137" s="115"/>
      <c r="M137" s="195"/>
      <c r="N137" s="196"/>
      <c r="O137" s="20">
        <f>I137-J137-K137</f>
        <v>0</v>
      </c>
      <c r="P137" s="21" t="e">
        <f t="shared" si="68"/>
        <v>#DIV/0!</v>
      </c>
      <c r="Q137" s="321"/>
      <c r="R137" s="32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27.75" hidden="1" customHeight="1" x14ac:dyDescent="0.25">
      <c r="A138" s="99" t="s">
        <v>47</v>
      </c>
      <c r="B138" s="112" t="s">
        <v>9</v>
      </c>
      <c r="C138" s="112" t="s">
        <v>12</v>
      </c>
      <c r="D138" s="112" t="s">
        <v>14</v>
      </c>
      <c r="E138" s="113" t="s">
        <v>138</v>
      </c>
      <c r="F138" s="112" t="s">
        <v>63</v>
      </c>
      <c r="G138" s="112" t="s">
        <v>48</v>
      </c>
      <c r="H138" s="112"/>
      <c r="I138" s="118">
        <v>0</v>
      </c>
      <c r="J138" s="158">
        <v>0</v>
      </c>
      <c r="K138" s="118">
        <f t="shared" si="71"/>
        <v>0</v>
      </c>
      <c r="L138" s="114"/>
      <c r="M138" s="188"/>
      <c r="N138" s="189"/>
      <c r="O138" s="119">
        <f t="shared" si="67"/>
        <v>0</v>
      </c>
      <c r="P138" s="120" t="e">
        <f t="shared" si="68"/>
        <v>#DIV/0!</v>
      </c>
      <c r="Q138" s="323"/>
      <c r="R138" s="32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82.5" hidden="1" customHeight="1" x14ac:dyDescent="0.25">
      <c r="A139" s="190" t="s">
        <v>127</v>
      </c>
      <c r="B139" s="104" t="s">
        <v>9</v>
      </c>
      <c r="C139" s="104" t="s">
        <v>12</v>
      </c>
      <c r="D139" s="104" t="s">
        <v>85</v>
      </c>
      <c r="E139" s="104" t="s">
        <v>86</v>
      </c>
      <c r="F139" s="104"/>
      <c r="G139" s="105"/>
      <c r="H139" s="105"/>
      <c r="I139" s="106">
        <f>I140+I141</f>
        <v>0</v>
      </c>
      <c r="J139" s="106">
        <f>J140+J141</f>
        <v>0</v>
      </c>
      <c r="K139" s="106">
        <f>K140+K141</f>
        <v>0</v>
      </c>
      <c r="L139" s="106">
        <f t="shared" ref="L139:N139" si="73">L140</f>
        <v>0</v>
      </c>
      <c r="M139" s="106">
        <f t="shared" si="73"/>
        <v>0</v>
      </c>
      <c r="N139" s="106">
        <f t="shared" si="73"/>
        <v>0</v>
      </c>
      <c r="O139" s="107">
        <f t="shared" si="67"/>
        <v>0</v>
      </c>
      <c r="P139" s="108" t="e">
        <f t="shared" si="68"/>
        <v>#DIV/0!</v>
      </c>
      <c r="Q139" s="321"/>
      <c r="R139" s="32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18.75" hidden="1" x14ac:dyDescent="0.25">
      <c r="A140" s="175" t="s">
        <v>41</v>
      </c>
      <c r="B140" s="22" t="s">
        <v>9</v>
      </c>
      <c r="C140" s="22" t="s">
        <v>12</v>
      </c>
      <c r="D140" s="22" t="s">
        <v>85</v>
      </c>
      <c r="E140" s="22" t="s">
        <v>86</v>
      </c>
      <c r="F140" s="22" t="s">
        <v>63</v>
      </c>
      <c r="G140" s="22" t="s">
        <v>42</v>
      </c>
      <c r="H140" s="22"/>
      <c r="I140" s="121"/>
      <c r="J140" s="121"/>
      <c r="K140" s="23">
        <f>I140-J140</f>
        <v>0</v>
      </c>
      <c r="L140" s="109"/>
      <c r="M140" s="110"/>
      <c r="N140" s="111"/>
      <c r="O140" s="25">
        <f>I140-J140-K140</f>
        <v>0</v>
      </c>
      <c r="P140" s="26" t="e">
        <f t="shared" si="68"/>
        <v>#DIV/0!</v>
      </c>
      <c r="Q140" s="323"/>
      <c r="R140" s="32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" customFormat="1" ht="18.75" hidden="1" x14ac:dyDescent="0.25">
      <c r="A141" s="99" t="s">
        <v>47</v>
      </c>
      <c r="B141" s="22" t="s">
        <v>9</v>
      </c>
      <c r="C141" s="22" t="s">
        <v>12</v>
      </c>
      <c r="D141" s="22" t="s">
        <v>85</v>
      </c>
      <c r="E141" s="22" t="s">
        <v>86</v>
      </c>
      <c r="F141" s="22" t="s">
        <v>63</v>
      </c>
      <c r="G141" s="22" t="s">
        <v>48</v>
      </c>
      <c r="H141" s="22"/>
      <c r="I141" s="121"/>
      <c r="J141" s="121">
        <v>0</v>
      </c>
      <c r="K141" s="23">
        <f>I141-J141</f>
        <v>0</v>
      </c>
      <c r="L141" s="109"/>
      <c r="M141" s="110"/>
      <c r="N141" s="111"/>
      <c r="O141" s="25">
        <f t="shared" ref="O141" si="74">I141-J141-K141</f>
        <v>0</v>
      </c>
      <c r="P141" s="26" t="e">
        <f t="shared" si="68"/>
        <v>#DIV/0!</v>
      </c>
      <c r="Q141" s="247"/>
      <c r="R141" s="248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" customFormat="1" ht="60" hidden="1" customHeight="1" x14ac:dyDescent="0.25">
      <c r="A142" s="40" t="s">
        <v>139</v>
      </c>
      <c r="B142" s="104" t="s">
        <v>9</v>
      </c>
      <c r="C142" s="104" t="s">
        <v>12</v>
      </c>
      <c r="D142" s="104" t="s">
        <v>14</v>
      </c>
      <c r="E142" s="104" t="s">
        <v>135</v>
      </c>
      <c r="F142" s="104"/>
      <c r="G142" s="104"/>
      <c r="H142" s="104"/>
      <c r="I142" s="106">
        <f>I143</f>
        <v>0</v>
      </c>
      <c r="J142" s="106">
        <f t="shared" ref="J142:K142" si="75">J143</f>
        <v>0</v>
      </c>
      <c r="K142" s="106">
        <f t="shared" si="75"/>
        <v>0</v>
      </c>
      <c r="L142" s="115"/>
      <c r="M142" s="195"/>
      <c r="N142" s="196"/>
      <c r="O142" s="20">
        <f>I142-J142-K142</f>
        <v>0</v>
      </c>
      <c r="P142" s="21" t="e">
        <f t="shared" si="68"/>
        <v>#DIV/0!</v>
      </c>
      <c r="Q142" s="321"/>
      <c r="R142" s="32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" customFormat="1" ht="10.5" hidden="1" customHeight="1" x14ac:dyDescent="0.25">
      <c r="A143" s="99" t="s">
        <v>47</v>
      </c>
      <c r="B143" s="112" t="s">
        <v>9</v>
      </c>
      <c r="C143" s="112" t="s">
        <v>12</v>
      </c>
      <c r="D143" s="112" t="s">
        <v>14</v>
      </c>
      <c r="E143" s="105" t="s">
        <v>144</v>
      </c>
      <c r="F143" s="112" t="s">
        <v>63</v>
      </c>
      <c r="G143" s="112" t="s">
        <v>48</v>
      </c>
      <c r="H143" s="112"/>
      <c r="I143" s="123">
        <v>0</v>
      </c>
      <c r="J143" s="124">
        <v>0</v>
      </c>
      <c r="K143" s="118">
        <f t="shared" ref="K143" si="76">I143-J143</f>
        <v>0</v>
      </c>
      <c r="L143" s="114"/>
      <c r="M143" s="188"/>
      <c r="N143" s="189"/>
      <c r="O143" s="119">
        <f t="shared" ref="O143:O145" si="77">I143-J143-K143</f>
        <v>0</v>
      </c>
      <c r="P143" s="120" t="e">
        <f t="shared" si="68"/>
        <v>#DIV/0!</v>
      </c>
      <c r="Q143" s="323"/>
      <c r="R143" s="32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16.25" customHeight="1" x14ac:dyDescent="0.25">
      <c r="A144" s="190" t="s">
        <v>154</v>
      </c>
      <c r="B144" s="41" t="s">
        <v>9</v>
      </c>
      <c r="C144" s="41" t="s">
        <v>12</v>
      </c>
      <c r="D144" s="41" t="s">
        <v>14</v>
      </c>
      <c r="E144" s="41" t="s">
        <v>155</v>
      </c>
      <c r="F144" s="41"/>
      <c r="G144" s="41"/>
      <c r="H144" s="41"/>
      <c r="I144" s="17">
        <f>I145</f>
        <v>9742.86</v>
      </c>
      <c r="J144" s="55">
        <f>J145</f>
        <v>2675.58</v>
      </c>
      <c r="K144" s="55">
        <f>I144-J144</f>
        <v>7067.2800000000007</v>
      </c>
      <c r="L144" s="18" t="e">
        <f>L145</f>
        <v>#REF!</v>
      </c>
      <c r="M144" s="186"/>
      <c r="N144" s="187"/>
      <c r="O144" s="20">
        <f t="shared" si="77"/>
        <v>0</v>
      </c>
      <c r="P144" s="21">
        <f>J144/I144*100</f>
        <v>27.461956756024406</v>
      </c>
      <c r="Q144" s="331"/>
      <c r="R144" s="331"/>
      <c r="S144" s="15"/>
    </row>
    <row r="145" spans="1:50" ht="18.75" x14ac:dyDescent="0.25">
      <c r="A145" s="99" t="s">
        <v>113</v>
      </c>
      <c r="B145" s="22" t="s">
        <v>9</v>
      </c>
      <c r="C145" s="22" t="s">
        <v>12</v>
      </c>
      <c r="D145" s="22" t="s">
        <v>14</v>
      </c>
      <c r="E145" s="22" t="s">
        <v>155</v>
      </c>
      <c r="F145" s="22" t="s">
        <v>63</v>
      </c>
      <c r="G145" s="22" t="s">
        <v>114</v>
      </c>
      <c r="H145" s="22"/>
      <c r="I145" s="23">
        <v>9742.86</v>
      </c>
      <c r="J145" s="34">
        <v>2675.58</v>
      </c>
      <c r="K145" s="34">
        <f>I145-J145</f>
        <v>7067.2800000000007</v>
      </c>
      <c r="L145" s="24" t="e">
        <f>#REF!</f>
        <v>#REF!</v>
      </c>
      <c r="M145" s="184"/>
      <c r="N145" s="185"/>
      <c r="O145" s="25">
        <f t="shared" si="77"/>
        <v>0</v>
      </c>
      <c r="P145" s="26">
        <f>J145/I145*100</f>
        <v>27.461956756024406</v>
      </c>
      <c r="Q145" s="331"/>
      <c r="R145" s="331"/>
      <c r="Z145" s="15"/>
      <c r="AA145" s="15"/>
      <c r="AB145" s="15"/>
      <c r="AC145" s="15"/>
      <c r="AD145" s="15"/>
    </row>
    <row r="146" spans="1:50" s="2" customFormat="1" ht="60" customHeight="1" x14ac:dyDescent="0.25">
      <c r="A146" s="199" t="s">
        <v>145</v>
      </c>
      <c r="B146" s="104" t="s">
        <v>9</v>
      </c>
      <c r="C146" s="104" t="s">
        <v>12</v>
      </c>
      <c r="D146" s="104" t="s">
        <v>12</v>
      </c>
      <c r="E146" s="104" t="s">
        <v>126</v>
      </c>
      <c r="F146" s="104"/>
      <c r="G146" s="104"/>
      <c r="H146" s="104"/>
      <c r="I146" s="106">
        <f>I147+I148</f>
        <v>130000</v>
      </c>
      <c r="J146" s="106">
        <f>J148+J147</f>
        <v>115254.04</v>
      </c>
      <c r="K146" s="106">
        <f>K148+K147</f>
        <v>14745.960000000003</v>
      </c>
      <c r="L146" s="115"/>
      <c r="M146" s="195"/>
      <c r="N146" s="196"/>
      <c r="O146" s="20">
        <f>I146-J146-K146</f>
        <v>0</v>
      </c>
      <c r="P146" s="21">
        <f t="shared" si="68"/>
        <v>88.65695384615384</v>
      </c>
      <c r="Q146" s="321"/>
      <c r="R146" s="322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33" customHeight="1" x14ac:dyDescent="0.25">
      <c r="A147" s="194" t="s">
        <v>27</v>
      </c>
      <c r="B147" s="112" t="s">
        <v>9</v>
      </c>
      <c r="C147" s="112" t="s">
        <v>12</v>
      </c>
      <c r="D147" s="112" t="s">
        <v>12</v>
      </c>
      <c r="E147" s="112" t="s">
        <v>126</v>
      </c>
      <c r="F147" s="112" t="s">
        <v>63</v>
      </c>
      <c r="G147" s="112" t="s">
        <v>28</v>
      </c>
      <c r="H147" s="129"/>
      <c r="I147" s="116">
        <v>99846.39</v>
      </c>
      <c r="J147" s="117">
        <v>89001.95</v>
      </c>
      <c r="K147" s="116">
        <f>I147-J147</f>
        <v>10844.440000000002</v>
      </c>
      <c r="L147" s="131"/>
      <c r="M147" s="184"/>
      <c r="N147" s="185"/>
      <c r="O147" s="119">
        <f t="shared" ref="O147:O148" si="78">I147-J147-K147</f>
        <v>0</v>
      </c>
      <c r="P147" s="120">
        <f t="shared" si="68"/>
        <v>89.13887622777348</v>
      </c>
      <c r="Q147" s="325"/>
      <c r="R147" s="326"/>
    </row>
    <row r="148" spans="1:50" s="2" customFormat="1" ht="27.75" customHeight="1" x14ac:dyDescent="0.25">
      <c r="A148" s="175" t="s">
        <v>31</v>
      </c>
      <c r="B148" s="112" t="s">
        <v>9</v>
      </c>
      <c r="C148" s="112" t="s">
        <v>12</v>
      </c>
      <c r="D148" s="112" t="s">
        <v>12</v>
      </c>
      <c r="E148" s="112" t="s">
        <v>126</v>
      </c>
      <c r="F148" s="112" t="s">
        <v>63</v>
      </c>
      <c r="G148" s="112" t="s">
        <v>32</v>
      </c>
      <c r="H148" s="112"/>
      <c r="I148" s="116">
        <v>30153.61</v>
      </c>
      <c r="J148" s="117">
        <v>26252.09</v>
      </c>
      <c r="K148" s="116">
        <f>I148-J148</f>
        <v>3901.5200000000004</v>
      </c>
      <c r="L148" s="131"/>
      <c r="M148" s="182"/>
      <c r="N148" s="183"/>
      <c r="O148" s="119">
        <f t="shared" si="78"/>
        <v>0</v>
      </c>
      <c r="P148" s="120">
        <f t="shared" si="68"/>
        <v>87.061184382234828</v>
      </c>
      <c r="Q148" s="323"/>
      <c r="R148" s="324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s="2" customFormat="1" ht="60" hidden="1" customHeight="1" x14ac:dyDescent="0.25">
      <c r="A149" s="199" t="s">
        <v>148</v>
      </c>
      <c r="B149" s="104" t="s">
        <v>9</v>
      </c>
      <c r="C149" s="104" t="s">
        <v>12</v>
      </c>
      <c r="D149" s="104" t="s">
        <v>85</v>
      </c>
      <c r="E149" s="104" t="s">
        <v>147</v>
      </c>
      <c r="F149" s="104"/>
      <c r="G149" s="104"/>
      <c r="H149" s="104"/>
      <c r="I149" s="106">
        <f>I150</f>
        <v>0</v>
      </c>
      <c r="J149" s="106">
        <f t="shared" ref="J149:K151" si="79">J150</f>
        <v>0</v>
      </c>
      <c r="K149" s="106">
        <f t="shared" si="79"/>
        <v>0</v>
      </c>
      <c r="L149" s="115"/>
      <c r="M149" s="195"/>
      <c r="N149" s="196"/>
      <c r="O149" s="20">
        <f>I149-J149-K149</f>
        <v>0</v>
      </c>
      <c r="P149" s="21" t="e">
        <f t="shared" si="68"/>
        <v>#DIV/0!</v>
      </c>
      <c r="Q149" s="321"/>
      <c r="R149" s="32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27.75" hidden="1" customHeight="1" x14ac:dyDescent="0.25">
      <c r="A150" s="99" t="s">
        <v>43</v>
      </c>
      <c r="B150" s="112" t="s">
        <v>9</v>
      </c>
      <c r="C150" s="112" t="s">
        <v>12</v>
      </c>
      <c r="D150" s="112" t="s">
        <v>85</v>
      </c>
      <c r="E150" s="105" t="s">
        <v>147</v>
      </c>
      <c r="F150" s="112" t="s">
        <v>63</v>
      </c>
      <c r="G150" s="112" t="s">
        <v>44</v>
      </c>
      <c r="H150" s="112"/>
      <c r="I150" s="118">
        <v>0</v>
      </c>
      <c r="J150" s="158">
        <v>0</v>
      </c>
      <c r="K150" s="118">
        <f t="shared" ref="K150" si="80">I150-J150</f>
        <v>0</v>
      </c>
      <c r="L150" s="114"/>
      <c r="M150" s="188"/>
      <c r="N150" s="189"/>
      <c r="O150" s="119">
        <f t="shared" ref="O150" si="81">I150-J150-K150</f>
        <v>0</v>
      </c>
      <c r="P150" s="120" t="e">
        <f t="shared" si="68"/>
        <v>#DIV/0!</v>
      </c>
      <c r="Q150" s="323"/>
      <c r="R150" s="32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" customFormat="1" ht="41.25" customHeight="1" x14ac:dyDescent="0.25">
      <c r="A151" s="199" t="s">
        <v>161</v>
      </c>
      <c r="B151" s="104" t="s">
        <v>9</v>
      </c>
      <c r="C151" s="104" t="s">
        <v>12</v>
      </c>
      <c r="D151" s="104" t="s">
        <v>85</v>
      </c>
      <c r="E151" s="104" t="s">
        <v>162</v>
      </c>
      <c r="F151" s="104" t="s">
        <v>63</v>
      </c>
      <c r="G151" s="104" t="s">
        <v>42</v>
      </c>
      <c r="H151" s="104"/>
      <c r="I151" s="106">
        <f>I152</f>
        <v>63000</v>
      </c>
      <c r="J151" s="106">
        <f t="shared" si="79"/>
        <v>63000</v>
      </c>
      <c r="K151" s="106">
        <f t="shared" si="79"/>
        <v>0</v>
      </c>
      <c r="L151" s="115"/>
      <c r="M151" s="195"/>
      <c r="N151" s="196"/>
      <c r="O151" s="20">
        <f>I151-J151-K151</f>
        <v>0</v>
      </c>
      <c r="P151" s="21">
        <f t="shared" si="68"/>
        <v>100</v>
      </c>
      <c r="Q151" s="321"/>
      <c r="R151" s="322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" customFormat="1" ht="27.75" customHeight="1" x14ac:dyDescent="0.25">
      <c r="A152" s="99" t="s">
        <v>43</v>
      </c>
      <c r="B152" s="112" t="s">
        <v>9</v>
      </c>
      <c r="C152" s="112" t="s">
        <v>12</v>
      </c>
      <c r="D152" s="112" t="s">
        <v>85</v>
      </c>
      <c r="E152" s="113" t="s">
        <v>162</v>
      </c>
      <c r="F152" s="112" t="s">
        <v>63</v>
      </c>
      <c r="G152" s="112" t="s">
        <v>42</v>
      </c>
      <c r="H152" s="112"/>
      <c r="I152" s="116">
        <v>63000</v>
      </c>
      <c r="J152" s="117">
        <v>63000</v>
      </c>
      <c r="K152" s="118">
        <f t="shared" ref="K152" si="82">I152-J152</f>
        <v>0</v>
      </c>
      <c r="L152" s="114"/>
      <c r="M152" s="188"/>
      <c r="N152" s="189"/>
      <c r="O152" s="119">
        <f>I152-J152-K152</f>
        <v>0</v>
      </c>
      <c r="P152" s="120">
        <f t="shared" si="68"/>
        <v>100</v>
      </c>
      <c r="Q152" s="323"/>
      <c r="R152" s="32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" customFormat="1" ht="22.5" customHeight="1" x14ac:dyDescent="0.3">
      <c r="A153" s="333" t="s">
        <v>71</v>
      </c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5"/>
      <c r="Q153" s="336"/>
      <c r="R153" s="337"/>
    </row>
    <row r="154" spans="1:50" ht="78" x14ac:dyDescent="0.25">
      <c r="A154" s="51" t="s">
        <v>8</v>
      </c>
      <c r="B154" s="52" t="s">
        <v>9</v>
      </c>
      <c r="C154" s="52"/>
      <c r="D154" s="52"/>
      <c r="E154" s="52"/>
      <c r="F154" s="52"/>
      <c r="G154" s="52"/>
      <c r="H154" s="52"/>
      <c r="I154" s="53">
        <f>I155+I166+I162+I170+I172+I177+I180+I183+I158+I160</f>
        <v>17139524.57</v>
      </c>
      <c r="J154" s="53">
        <f>J155+J166+J162+J172+J177+J170+J180+J183+J158+J160</f>
        <v>8167859.9700000007</v>
      </c>
      <c r="K154" s="53">
        <f>K155+K166+K162+K170+K172+K177+K180+K183+K158+K160</f>
        <v>8971664.5999999996</v>
      </c>
      <c r="L154" s="53" t="e">
        <f>L155+L166</f>
        <v>#REF!</v>
      </c>
      <c r="M154" s="53" t="e">
        <f>M155+M166</f>
        <v>#REF!</v>
      </c>
      <c r="N154" s="53" t="e">
        <f>N155+N166</f>
        <v>#REF!</v>
      </c>
      <c r="O154" s="53">
        <f>I154-J154-K154</f>
        <v>0</v>
      </c>
      <c r="P154" s="53">
        <f>P155+P166</f>
        <v>114.53498514935526</v>
      </c>
      <c r="Q154" s="331"/>
      <c r="R154" s="331"/>
    </row>
    <row r="155" spans="1:50" ht="24" customHeight="1" x14ac:dyDescent="0.25">
      <c r="A155" s="173" t="s">
        <v>11</v>
      </c>
      <c r="B155" s="8" t="s">
        <v>9</v>
      </c>
      <c r="C155" s="8" t="s">
        <v>12</v>
      </c>
      <c r="D155" s="8"/>
      <c r="E155" s="8"/>
      <c r="F155" s="8"/>
      <c r="G155" s="8"/>
      <c r="H155" s="8"/>
      <c r="I155" s="264">
        <f>I156</f>
        <v>248300</v>
      </c>
      <c r="J155" s="9">
        <f t="shared" ref="J155:N155" si="83">J156</f>
        <v>167455.26</v>
      </c>
      <c r="K155" s="9">
        <f t="shared" ref="K155:K161" si="84">I155-J155</f>
        <v>80844.739999999991</v>
      </c>
      <c r="L155" s="9" t="e">
        <f t="shared" si="83"/>
        <v>#REF!</v>
      </c>
      <c r="M155" s="9">
        <f t="shared" si="83"/>
        <v>0</v>
      </c>
      <c r="N155" s="9">
        <f t="shared" si="83"/>
        <v>0</v>
      </c>
      <c r="O155" s="9">
        <f t="shared" ref="O155:O175" si="85">I155-J155-K155</f>
        <v>0</v>
      </c>
      <c r="P155" s="12">
        <f t="shared" ref="P155:P164" si="86">J155/I155*100</f>
        <v>67.440700765203388</v>
      </c>
      <c r="Q155" s="331"/>
      <c r="R155" s="331"/>
    </row>
    <row r="156" spans="1:50" ht="102.75" customHeight="1" x14ac:dyDescent="0.25">
      <c r="A156" s="190" t="s">
        <v>153</v>
      </c>
      <c r="B156" s="41" t="s">
        <v>9</v>
      </c>
      <c r="C156" s="41" t="s">
        <v>12</v>
      </c>
      <c r="D156" s="41" t="s">
        <v>14</v>
      </c>
      <c r="E156" s="41" t="s">
        <v>72</v>
      </c>
      <c r="F156" s="41"/>
      <c r="G156" s="41"/>
      <c r="H156" s="41"/>
      <c r="I156" s="17">
        <f>I157</f>
        <v>248300</v>
      </c>
      <c r="J156" s="55">
        <f>J157</f>
        <v>167455.26</v>
      </c>
      <c r="K156" s="55">
        <f t="shared" si="84"/>
        <v>80844.739999999991</v>
      </c>
      <c r="L156" s="18" t="e">
        <f>L157</f>
        <v>#REF!</v>
      </c>
      <c r="M156" s="186"/>
      <c r="N156" s="187"/>
      <c r="O156" s="20">
        <f t="shared" si="85"/>
        <v>0</v>
      </c>
      <c r="P156" s="21">
        <f t="shared" si="86"/>
        <v>67.440700765203388</v>
      </c>
      <c r="Q156" s="331"/>
      <c r="R156" s="331"/>
      <c r="S156" s="15"/>
    </row>
    <row r="157" spans="1:50" ht="18.75" x14ac:dyDescent="0.25">
      <c r="A157" s="99" t="s">
        <v>113</v>
      </c>
      <c r="B157" s="22" t="s">
        <v>9</v>
      </c>
      <c r="C157" s="22" t="s">
        <v>12</v>
      </c>
      <c r="D157" s="22" t="s">
        <v>14</v>
      </c>
      <c r="E157" s="43" t="s">
        <v>72</v>
      </c>
      <c r="F157" s="22" t="s">
        <v>63</v>
      </c>
      <c r="G157" s="22" t="s">
        <v>114</v>
      </c>
      <c r="H157" s="22"/>
      <c r="I157" s="23">
        <v>248300</v>
      </c>
      <c r="J157" s="34">
        <v>167455.26</v>
      </c>
      <c r="K157" s="34">
        <f t="shared" si="84"/>
        <v>80844.739999999991</v>
      </c>
      <c r="L157" s="24" t="e">
        <f>#REF!</f>
        <v>#REF!</v>
      </c>
      <c r="M157" s="184"/>
      <c r="N157" s="185"/>
      <c r="O157" s="25">
        <f t="shared" si="85"/>
        <v>0</v>
      </c>
      <c r="P157" s="26">
        <f t="shared" si="86"/>
        <v>67.440700765203388</v>
      </c>
      <c r="Q157" s="331"/>
      <c r="R157" s="331"/>
      <c r="Z157" s="15"/>
      <c r="AA157" s="15"/>
      <c r="AB157" s="15"/>
      <c r="AC157" s="15"/>
      <c r="AD157" s="15"/>
    </row>
    <row r="158" spans="1:50" ht="131.25" customHeight="1" x14ac:dyDescent="0.25">
      <c r="A158" s="190" t="s">
        <v>154</v>
      </c>
      <c r="B158" s="41" t="s">
        <v>9</v>
      </c>
      <c r="C158" s="41" t="s">
        <v>12</v>
      </c>
      <c r="D158" s="41" t="s">
        <v>14</v>
      </c>
      <c r="E158" s="41" t="s">
        <v>159</v>
      </c>
      <c r="F158" s="41"/>
      <c r="G158" s="41"/>
      <c r="H158" s="41"/>
      <c r="I158" s="17">
        <f>I159</f>
        <v>477400</v>
      </c>
      <c r="J158" s="55">
        <f>J159</f>
        <v>151267.20000000001</v>
      </c>
      <c r="K158" s="55">
        <f t="shared" si="84"/>
        <v>326132.8</v>
      </c>
      <c r="L158" s="18" t="e">
        <f>L159</f>
        <v>#REF!</v>
      </c>
      <c r="M158" s="186"/>
      <c r="N158" s="187"/>
      <c r="O158" s="20">
        <f t="shared" si="85"/>
        <v>0</v>
      </c>
      <c r="P158" s="21">
        <f t="shared" si="86"/>
        <v>31.68563049853373</v>
      </c>
      <c r="Q158" s="331"/>
      <c r="R158" s="331"/>
      <c r="S158" s="15"/>
    </row>
    <row r="159" spans="1:50" ht="18.75" x14ac:dyDescent="0.25">
      <c r="A159" s="99" t="s">
        <v>113</v>
      </c>
      <c r="B159" s="22" t="s">
        <v>9</v>
      </c>
      <c r="C159" s="22" t="s">
        <v>12</v>
      </c>
      <c r="D159" s="22" t="s">
        <v>14</v>
      </c>
      <c r="E159" s="43" t="s">
        <v>159</v>
      </c>
      <c r="F159" s="22" t="s">
        <v>63</v>
      </c>
      <c r="G159" s="22" t="s">
        <v>114</v>
      </c>
      <c r="H159" s="22"/>
      <c r="I159" s="23">
        <v>477400</v>
      </c>
      <c r="J159" s="34">
        <v>151267.20000000001</v>
      </c>
      <c r="K159" s="34">
        <f t="shared" si="84"/>
        <v>326132.8</v>
      </c>
      <c r="L159" s="24" t="e">
        <f>#REF!</f>
        <v>#REF!</v>
      </c>
      <c r="M159" s="184"/>
      <c r="N159" s="185"/>
      <c r="O159" s="25">
        <f t="shared" si="85"/>
        <v>0</v>
      </c>
      <c r="P159" s="26">
        <f t="shared" si="86"/>
        <v>31.68563049853373</v>
      </c>
      <c r="Q159" s="331"/>
      <c r="R159" s="331"/>
      <c r="Z159" s="15"/>
      <c r="AA159" s="15"/>
      <c r="AB159" s="15"/>
      <c r="AC159" s="15"/>
      <c r="AD159" s="15"/>
    </row>
    <row r="160" spans="1:50" ht="117.75" customHeight="1" x14ac:dyDescent="0.25">
      <c r="A160" s="190" t="s">
        <v>154</v>
      </c>
      <c r="B160" s="41" t="s">
        <v>9</v>
      </c>
      <c r="C160" s="41" t="s">
        <v>12</v>
      </c>
      <c r="D160" s="41" t="s">
        <v>14</v>
      </c>
      <c r="E160" s="41" t="s">
        <v>160</v>
      </c>
      <c r="F160" s="41"/>
      <c r="G160" s="41"/>
      <c r="H160" s="41"/>
      <c r="I160" s="17">
        <f>I161</f>
        <v>4563328.57</v>
      </c>
      <c r="J160" s="55">
        <f>J161</f>
        <v>1383624.27</v>
      </c>
      <c r="K160" s="55">
        <f t="shared" si="84"/>
        <v>3179704.3000000003</v>
      </c>
      <c r="L160" s="18" t="e">
        <f>L161</f>
        <v>#REF!</v>
      </c>
      <c r="M160" s="186"/>
      <c r="N160" s="187"/>
      <c r="O160" s="20">
        <f t="shared" si="85"/>
        <v>0</v>
      </c>
      <c r="P160" s="21">
        <f t="shared" si="86"/>
        <v>30.320505060629461</v>
      </c>
      <c r="Q160" s="331"/>
      <c r="R160" s="331"/>
      <c r="S160" s="15"/>
    </row>
    <row r="161" spans="1:50" ht="18.75" x14ac:dyDescent="0.25">
      <c r="A161" s="99" t="s">
        <v>113</v>
      </c>
      <c r="B161" s="22" t="s">
        <v>9</v>
      </c>
      <c r="C161" s="22" t="s">
        <v>12</v>
      </c>
      <c r="D161" s="22" t="s">
        <v>14</v>
      </c>
      <c r="E161" s="43" t="s">
        <v>160</v>
      </c>
      <c r="F161" s="22" t="s">
        <v>22</v>
      </c>
      <c r="G161" s="22" t="s">
        <v>114</v>
      </c>
      <c r="H161" s="22"/>
      <c r="I161" s="23">
        <v>4563328.57</v>
      </c>
      <c r="J161" s="34">
        <v>1383624.27</v>
      </c>
      <c r="K161" s="34">
        <f t="shared" si="84"/>
        <v>3179704.3000000003</v>
      </c>
      <c r="L161" s="24" t="e">
        <f>#REF!</f>
        <v>#REF!</v>
      </c>
      <c r="M161" s="184"/>
      <c r="N161" s="185"/>
      <c r="O161" s="25">
        <f t="shared" si="85"/>
        <v>0</v>
      </c>
      <c r="P161" s="26">
        <f t="shared" si="86"/>
        <v>30.320505060629461</v>
      </c>
      <c r="Q161" s="331"/>
      <c r="R161" s="331"/>
      <c r="Z161" s="15"/>
      <c r="AA161" s="15"/>
      <c r="AB161" s="15"/>
      <c r="AC161" s="15"/>
      <c r="AD161" s="15"/>
    </row>
    <row r="162" spans="1:50" ht="56.25" hidden="1" x14ac:dyDescent="0.25">
      <c r="A162" s="199" t="s">
        <v>143</v>
      </c>
      <c r="B162" s="104" t="s">
        <v>9</v>
      </c>
      <c r="C162" s="104" t="s">
        <v>12</v>
      </c>
      <c r="D162" s="104" t="s">
        <v>14</v>
      </c>
      <c r="E162" s="104" t="s">
        <v>138</v>
      </c>
      <c r="F162" s="104"/>
      <c r="G162" s="104"/>
      <c r="H162" s="104"/>
      <c r="I162" s="106">
        <f>I164+I163+I165</f>
        <v>0</v>
      </c>
      <c r="J162" s="106">
        <f>J164+J163+J165</f>
        <v>0</v>
      </c>
      <c r="K162" s="106">
        <f t="shared" ref="K162" si="87">K164</f>
        <v>0</v>
      </c>
      <c r="L162" s="265"/>
      <c r="M162" s="195"/>
      <c r="N162" s="196"/>
      <c r="O162" s="20">
        <f>I162-J162-K162</f>
        <v>0</v>
      </c>
      <c r="P162" s="21" t="e">
        <f t="shared" si="86"/>
        <v>#DIV/0!</v>
      </c>
      <c r="Q162" s="331"/>
      <c r="R162" s="331"/>
      <c r="Z162" s="15"/>
      <c r="AA162" s="15"/>
      <c r="AB162" s="15"/>
      <c r="AC162" s="15"/>
      <c r="AD162" s="15"/>
    </row>
    <row r="163" spans="1:50" ht="18.75" hidden="1" x14ac:dyDescent="0.25">
      <c r="A163" s="200" t="s">
        <v>43</v>
      </c>
      <c r="B163" s="112" t="s">
        <v>9</v>
      </c>
      <c r="C163" s="112" t="s">
        <v>12</v>
      </c>
      <c r="D163" s="112" t="s">
        <v>14</v>
      </c>
      <c r="E163" s="113" t="s">
        <v>138</v>
      </c>
      <c r="F163" s="112" t="s">
        <v>63</v>
      </c>
      <c r="G163" s="112" t="s">
        <v>44</v>
      </c>
      <c r="H163" s="129"/>
      <c r="I163" s="118">
        <v>0</v>
      </c>
      <c r="J163" s="158">
        <v>0</v>
      </c>
      <c r="K163" s="116"/>
      <c r="L163" s="136"/>
      <c r="M163" s="182"/>
      <c r="N163" s="183"/>
      <c r="O163" s="119"/>
      <c r="P163" s="120"/>
      <c r="Q163" s="331"/>
      <c r="R163" s="331"/>
      <c r="Z163" s="15"/>
      <c r="AA163" s="15"/>
      <c r="AB163" s="15"/>
      <c r="AC163" s="15"/>
      <c r="AD163" s="15"/>
    </row>
    <row r="164" spans="1:50" ht="25.5" hidden="1" customHeight="1" x14ac:dyDescent="0.25">
      <c r="A164" s="99" t="s">
        <v>47</v>
      </c>
      <c r="B164" s="112" t="s">
        <v>9</v>
      </c>
      <c r="C164" s="112" t="s">
        <v>12</v>
      </c>
      <c r="D164" s="112" t="s">
        <v>14</v>
      </c>
      <c r="E164" s="113" t="s">
        <v>138</v>
      </c>
      <c r="F164" s="112" t="s">
        <v>63</v>
      </c>
      <c r="G164" s="112" t="s">
        <v>48</v>
      </c>
      <c r="H164" s="112"/>
      <c r="I164" s="118">
        <v>0</v>
      </c>
      <c r="J164" s="158">
        <v>0</v>
      </c>
      <c r="K164" s="118">
        <f t="shared" ref="K164:K176" si="88">I164-J164</f>
        <v>0</v>
      </c>
      <c r="L164" s="266"/>
      <c r="M164" s="188"/>
      <c r="N164" s="189"/>
      <c r="O164" s="119">
        <f t="shared" ref="O164" si="89">I164-J164-K164</f>
        <v>0</v>
      </c>
      <c r="P164" s="120" t="e">
        <f t="shared" si="86"/>
        <v>#DIV/0!</v>
      </c>
      <c r="Q164" s="331"/>
      <c r="R164" s="331"/>
      <c r="Z164" s="15"/>
      <c r="AA164" s="15"/>
      <c r="AB164" s="15"/>
      <c r="AC164" s="15"/>
      <c r="AD164" s="15"/>
    </row>
    <row r="165" spans="1:50" ht="25.5" hidden="1" customHeight="1" x14ac:dyDescent="0.25">
      <c r="A165" s="175" t="s">
        <v>109</v>
      </c>
      <c r="B165" s="112" t="s">
        <v>9</v>
      </c>
      <c r="C165" s="112" t="s">
        <v>12</v>
      </c>
      <c r="D165" s="112" t="s">
        <v>14</v>
      </c>
      <c r="E165" s="113" t="s">
        <v>138</v>
      </c>
      <c r="F165" s="112" t="s">
        <v>63</v>
      </c>
      <c r="G165" s="112" t="s">
        <v>104</v>
      </c>
      <c r="H165" s="112"/>
      <c r="I165" s="118">
        <v>0</v>
      </c>
      <c r="J165" s="158">
        <v>0</v>
      </c>
      <c r="K165" s="118"/>
      <c r="L165" s="266"/>
      <c r="M165" s="188"/>
      <c r="N165" s="189"/>
      <c r="O165" s="119"/>
      <c r="P165" s="120"/>
      <c r="Q165" s="331"/>
      <c r="R165" s="331"/>
      <c r="Z165" s="15"/>
      <c r="AA165" s="15"/>
      <c r="AB165" s="15"/>
      <c r="AC165" s="15"/>
      <c r="AD165" s="15"/>
    </row>
    <row r="166" spans="1:50" s="47" customFormat="1" ht="18.75" x14ac:dyDescent="0.3">
      <c r="A166" s="58" t="s">
        <v>75</v>
      </c>
      <c r="B166" s="59" t="s">
        <v>9</v>
      </c>
      <c r="C166" s="59" t="s">
        <v>76</v>
      </c>
      <c r="D166" s="59"/>
      <c r="E166" s="59"/>
      <c r="F166" s="59"/>
      <c r="G166" s="59"/>
      <c r="H166" s="59"/>
      <c r="I166" s="61">
        <f t="shared" ref="I166:J170" si="90">I167</f>
        <v>5202484</v>
      </c>
      <c r="J166" s="61">
        <f t="shared" si="90"/>
        <v>2450072.61</v>
      </c>
      <c r="K166" s="61">
        <f t="shared" si="88"/>
        <v>2752411.39</v>
      </c>
      <c r="L166" s="61" t="e">
        <f>L167+#REF!</f>
        <v>#REF!</v>
      </c>
      <c r="M166" s="61" t="e">
        <f>M167+#REF!</f>
        <v>#REF!</v>
      </c>
      <c r="N166" s="61" t="e">
        <f>N167+#REF!</f>
        <v>#REF!</v>
      </c>
      <c r="O166" s="61">
        <f t="shared" si="85"/>
        <v>0</v>
      </c>
      <c r="P166" s="61">
        <f t="shared" ref="P166:P167" si="91">J166*100/I166</f>
        <v>47.094284384151877</v>
      </c>
      <c r="Q166" s="331"/>
      <c r="R166" s="331"/>
    </row>
    <row r="167" spans="1:50" ht="18.75" x14ac:dyDescent="0.3">
      <c r="A167" s="62" t="s">
        <v>77</v>
      </c>
      <c r="B167" s="63" t="s">
        <v>9</v>
      </c>
      <c r="C167" s="63" t="s">
        <v>76</v>
      </c>
      <c r="D167" s="63" t="s">
        <v>78</v>
      </c>
      <c r="E167" s="63"/>
      <c r="F167" s="63"/>
      <c r="G167" s="63"/>
      <c r="H167" s="63"/>
      <c r="I167" s="267">
        <f t="shared" si="90"/>
        <v>5202484</v>
      </c>
      <c r="J167" s="267">
        <f t="shared" si="90"/>
        <v>2450072.61</v>
      </c>
      <c r="K167" s="65">
        <f t="shared" si="88"/>
        <v>2752411.39</v>
      </c>
      <c r="L167" s="65" t="e">
        <f t="shared" ref="L167:N167" si="92">L168</f>
        <v>#REF!</v>
      </c>
      <c r="M167" s="65">
        <f t="shared" si="92"/>
        <v>0</v>
      </c>
      <c r="N167" s="65">
        <f t="shared" si="92"/>
        <v>0</v>
      </c>
      <c r="O167" s="65">
        <f t="shared" si="85"/>
        <v>0</v>
      </c>
      <c r="P167" s="65">
        <f t="shared" si="91"/>
        <v>47.094284384151877</v>
      </c>
      <c r="Q167" s="331"/>
      <c r="R167" s="331"/>
    </row>
    <row r="168" spans="1:50" ht="135.75" customHeight="1" x14ac:dyDescent="0.25">
      <c r="A168" s="86" t="s">
        <v>79</v>
      </c>
      <c r="B168" s="41" t="s">
        <v>9</v>
      </c>
      <c r="C168" s="41" t="s">
        <v>76</v>
      </c>
      <c r="D168" s="41" t="s">
        <v>78</v>
      </c>
      <c r="E168" s="66">
        <v>7110175110</v>
      </c>
      <c r="F168" s="41"/>
      <c r="G168" s="41"/>
      <c r="H168" s="41"/>
      <c r="I168" s="17">
        <f t="shared" si="90"/>
        <v>5202484</v>
      </c>
      <c r="J168" s="17">
        <f t="shared" si="90"/>
        <v>2450072.61</v>
      </c>
      <c r="K168" s="17">
        <f t="shared" si="88"/>
        <v>2752411.39</v>
      </c>
      <c r="L168" s="18" t="e">
        <f>L169</f>
        <v>#REF!</v>
      </c>
      <c r="M168" s="186"/>
      <c r="N168" s="187"/>
      <c r="O168" s="20">
        <f t="shared" si="85"/>
        <v>0</v>
      </c>
      <c r="P168" s="21">
        <f>J168/I168*100</f>
        <v>47.094284384151877</v>
      </c>
      <c r="Q168" s="331"/>
      <c r="R168" s="331"/>
    </row>
    <row r="169" spans="1:50" s="46" customFormat="1" ht="37.5" x14ac:dyDescent="0.25">
      <c r="A169" s="175" t="s">
        <v>93</v>
      </c>
      <c r="B169" s="22" t="s">
        <v>9</v>
      </c>
      <c r="C169" s="22" t="s">
        <v>76</v>
      </c>
      <c r="D169" s="22" t="s">
        <v>78</v>
      </c>
      <c r="E169" s="67">
        <v>7110175100</v>
      </c>
      <c r="F169" s="22" t="s">
        <v>63</v>
      </c>
      <c r="G169" s="22" t="s">
        <v>94</v>
      </c>
      <c r="H169" s="22"/>
      <c r="I169" s="23">
        <v>5202484</v>
      </c>
      <c r="J169" s="23">
        <v>2450072.61</v>
      </c>
      <c r="K169" s="23">
        <f t="shared" si="88"/>
        <v>2752411.39</v>
      </c>
      <c r="L169" s="24" t="e">
        <f>#REF!</f>
        <v>#REF!</v>
      </c>
      <c r="M169" s="182"/>
      <c r="N169" s="183"/>
      <c r="O169" s="25">
        <f t="shared" si="85"/>
        <v>0</v>
      </c>
      <c r="P169" s="26">
        <f t="shared" ref="P169" si="93">J169/I169*100</f>
        <v>47.094284384151877</v>
      </c>
      <c r="Q169" s="331"/>
      <c r="R169" s="331"/>
      <c r="S169" s="1"/>
      <c r="T169" s="1"/>
      <c r="U169" s="1"/>
      <c r="V169" s="1"/>
      <c r="W169" s="1"/>
      <c r="X169" s="1"/>
      <c r="Y169" s="1"/>
      <c r="Z169" s="68"/>
      <c r="AA169" s="68"/>
      <c r="AB169" s="68"/>
      <c r="AC169" s="68"/>
      <c r="AD169" s="68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 ht="62.25" hidden="1" customHeight="1" x14ac:dyDescent="0.25">
      <c r="A170" s="40" t="s">
        <v>139</v>
      </c>
      <c r="B170" s="41" t="s">
        <v>9</v>
      </c>
      <c r="C170" s="41" t="s">
        <v>12</v>
      </c>
      <c r="D170" s="41" t="s">
        <v>14</v>
      </c>
      <c r="E170" s="66" t="s">
        <v>135</v>
      </c>
      <c r="F170" s="41"/>
      <c r="G170" s="41"/>
      <c r="H170" s="41"/>
      <c r="I170" s="17">
        <f t="shared" si="90"/>
        <v>0</v>
      </c>
      <c r="J170" s="17">
        <f t="shared" si="90"/>
        <v>0</v>
      </c>
      <c r="K170" s="17">
        <f t="shared" si="88"/>
        <v>0</v>
      </c>
      <c r="L170" s="18" t="e">
        <f>L171</f>
        <v>#REF!</v>
      </c>
      <c r="M170" s="186"/>
      <c r="N170" s="187"/>
      <c r="O170" s="20">
        <f t="shared" si="85"/>
        <v>0</v>
      </c>
      <c r="P170" s="21" t="e">
        <f>J170/I170*100</f>
        <v>#DIV/0!</v>
      </c>
      <c r="Q170" s="331"/>
      <c r="R170" s="331"/>
    </row>
    <row r="171" spans="1:50" s="46" customFormat="1" ht="18.75" hidden="1" x14ac:dyDescent="0.25">
      <c r="A171" s="99" t="s">
        <v>47</v>
      </c>
      <c r="B171" s="22" t="s">
        <v>9</v>
      </c>
      <c r="C171" s="16" t="s">
        <v>12</v>
      </c>
      <c r="D171" s="16" t="s">
        <v>14</v>
      </c>
      <c r="E171" s="134" t="s">
        <v>135</v>
      </c>
      <c r="F171" s="22" t="s">
        <v>63</v>
      </c>
      <c r="G171" s="22" t="s">
        <v>48</v>
      </c>
      <c r="H171" s="22"/>
      <c r="I171" s="35">
        <v>0</v>
      </c>
      <c r="J171" s="35">
        <v>0</v>
      </c>
      <c r="K171" s="23">
        <f t="shared" si="88"/>
        <v>0</v>
      </c>
      <c r="L171" s="24" t="e">
        <f>#REF!</f>
        <v>#REF!</v>
      </c>
      <c r="M171" s="182"/>
      <c r="N171" s="183"/>
      <c r="O171" s="25">
        <f t="shared" si="85"/>
        <v>0</v>
      </c>
      <c r="P171" s="26" t="e">
        <f t="shared" ref="P171" si="94">J171/I171*100</f>
        <v>#DIV/0!</v>
      </c>
      <c r="Q171" s="331"/>
      <c r="R171" s="331"/>
      <c r="S171" s="1"/>
      <c r="T171" s="1"/>
      <c r="U171" s="1"/>
      <c r="V171" s="1"/>
      <c r="W171" s="1"/>
      <c r="X171" s="1"/>
      <c r="Y171" s="1"/>
      <c r="Z171" s="68"/>
      <c r="AA171" s="68"/>
      <c r="AB171" s="68"/>
      <c r="AC171" s="68"/>
      <c r="AD171" s="68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 ht="62.25" hidden="1" customHeight="1" x14ac:dyDescent="0.25">
      <c r="A172" s="199" t="s">
        <v>148</v>
      </c>
      <c r="B172" s="41" t="s">
        <v>9</v>
      </c>
      <c r="C172" s="41" t="s">
        <v>12</v>
      </c>
      <c r="D172" s="41" t="s">
        <v>85</v>
      </c>
      <c r="E172" s="66">
        <v>7010470790</v>
      </c>
      <c r="F172" s="41"/>
      <c r="G172" s="41"/>
      <c r="H172" s="41"/>
      <c r="I172" s="17">
        <f>I175+I173+I174+I176</f>
        <v>0</v>
      </c>
      <c r="J172" s="17">
        <f>J175+J173+J174+J176</f>
        <v>0</v>
      </c>
      <c r="K172" s="17">
        <f t="shared" si="88"/>
        <v>0</v>
      </c>
      <c r="L172" s="18" t="e">
        <f>L175</f>
        <v>#REF!</v>
      </c>
      <c r="M172" s="186"/>
      <c r="N172" s="187"/>
      <c r="O172" s="20">
        <f t="shared" si="85"/>
        <v>0</v>
      </c>
      <c r="P172" s="21" t="e">
        <f>J172/I172*100</f>
        <v>#DIV/0!</v>
      </c>
      <c r="Q172" s="331"/>
      <c r="R172" s="331"/>
    </row>
    <row r="173" spans="1:50" ht="27" hidden="1" customHeight="1" x14ac:dyDescent="0.25">
      <c r="A173" s="200" t="s">
        <v>56</v>
      </c>
      <c r="B173" s="22" t="s">
        <v>9</v>
      </c>
      <c r="C173" s="22" t="s">
        <v>12</v>
      </c>
      <c r="D173" s="22" t="s">
        <v>85</v>
      </c>
      <c r="E173" s="67">
        <v>7010470790</v>
      </c>
      <c r="F173" s="22" t="s">
        <v>63</v>
      </c>
      <c r="G173" s="22" t="s">
        <v>38</v>
      </c>
      <c r="H173" s="22"/>
      <c r="I173" s="23"/>
      <c r="J173" s="23"/>
      <c r="K173" s="23">
        <f>I173-J173</f>
        <v>0</v>
      </c>
      <c r="L173" s="24"/>
      <c r="M173" s="182"/>
      <c r="N173" s="183"/>
      <c r="O173" s="25"/>
      <c r="P173" s="26"/>
      <c r="Q173" s="331"/>
      <c r="R173" s="331"/>
    </row>
    <row r="174" spans="1:50" ht="20.25" hidden="1" customHeight="1" x14ac:dyDescent="0.25">
      <c r="A174" s="200" t="s">
        <v>43</v>
      </c>
      <c r="B174" s="22" t="s">
        <v>9</v>
      </c>
      <c r="C174" s="22" t="s">
        <v>12</v>
      </c>
      <c r="D174" s="22" t="s">
        <v>85</v>
      </c>
      <c r="E174" s="67">
        <v>7010470790</v>
      </c>
      <c r="F174" s="22" t="s">
        <v>63</v>
      </c>
      <c r="G174" s="22" t="s">
        <v>44</v>
      </c>
      <c r="H174" s="22"/>
      <c r="I174" s="23"/>
      <c r="J174" s="23"/>
      <c r="K174" s="23">
        <f>I174-J174</f>
        <v>0</v>
      </c>
      <c r="L174" s="24"/>
      <c r="M174" s="182"/>
      <c r="N174" s="183"/>
      <c r="O174" s="25"/>
      <c r="P174" s="26"/>
      <c r="Q174" s="331"/>
      <c r="R174" s="331"/>
    </row>
    <row r="175" spans="1:50" s="2" customFormat="1" ht="24" hidden="1" customHeight="1" x14ac:dyDescent="0.25">
      <c r="A175" s="201" t="s">
        <v>47</v>
      </c>
      <c r="B175" s="112" t="s">
        <v>9</v>
      </c>
      <c r="C175" s="112" t="s">
        <v>12</v>
      </c>
      <c r="D175" s="112" t="s">
        <v>85</v>
      </c>
      <c r="E175" s="138">
        <v>7010470790</v>
      </c>
      <c r="F175" s="112" t="s">
        <v>63</v>
      </c>
      <c r="G175" s="112" t="s">
        <v>48</v>
      </c>
      <c r="H175" s="112"/>
      <c r="I175" s="116"/>
      <c r="J175" s="116"/>
      <c r="K175" s="116">
        <f t="shared" si="88"/>
        <v>0</v>
      </c>
      <c r="L175" s="136" t="e">
        <f>#REF!</f>
        <v>#REF!</v>
      </c>
      <c r="M175" s="182"/>
      <c r="N175" s="183"/>
      <c r="O175" s="119">
        <f t="shared" si="85"/>
        <v>0</v>
      </c>
      <c r="P175" s="120" t="e">
        <f t="shared" ref="P175:P177" si="95">J175/I175*100</f>
        <v>#DIV/0!</v>
      </c>
      <c r="Q175" s="332"/>
      <c r="R175" s="332"/>
      <c r="S175" s="1"/>
      <c r="T175" s="1"/>
      <c r="U175" s="1"/>
      <c r="V175" s="1"/>
      <c r="W175" s="1"/>
      <c r="X175" s="1"/>
      <c r="Y175" s="1"/>
      <c r="Z175" s="68"/>
      <c r="AA175" s="68"/>
      <c r="AB175" s="68"/>
      <c r="AC175" s="68"/>
      <c r="AD175" s="68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s="2" customFormat="1" ht="24" hidden="1" customHeight="1" x14ac:dyDescent="0.25">
      <c r="A176" s="175" t="s">
        <v>109</v>
      </c>
      <c r="B176" s="112" t="s">
        <v>9</v>
      </c>
      <c r="C176" s="112" t="s">
        <v>12</v>
      </c>
      <c r="D176" s="112" t="s">
        <v>85</v>
      </c>
      <c r="E176" s="138">
        <v>7010470790</v>
      </c>
      <c r="F176" s="112" t="s">
        <v>63</v>
      </c>
      <c r="G176" s="112" t="s">
        <v>104</v>
      </c>
      <c r="H176" s="22"/>
      <c r="I176" s="23"/>
      <c r="J176" s="23"/>
      <c r="K176" s="116">
        <f t="shared" si="88"/>
        <v>0</v>
      </c>
      <c r="L176" s="137"/>
      <c r="M176" s="255"/>
      <c r="N176" s="254"/>
      <c r="O176" s="119">
        <f>I176-J176-K176</f>
        <v>0</v>
      </c>
      <c r="P176" s="120" t="e">
        <f t="shared" si="95"/>
        <v>#DIV/0!</v>
      </c>
      <c r="Q176" s="332"/>
      <c r="R176" s="332"/>
      <c r="S176" s="1"/>
      <c r="T176" s="1"/>
      <c r="U176" s="1"/>
      <c r="V176" s="1"/>
      <c r="W176" s="1"/>
      <c r="X176" s="1"/>
      <c r="Y176" s="1"/>
      <c r="Z176" s="68"/>
      <c r="AA176" s="68"/>
      <c r="AB176" s="68"/>
      <c r="AC176" s="68"/>
      <c r="AD176" s="6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60" hidden="1" customHeight="1" x14ac:dyDescent="0.25">
      <c r="A177" s="199" t="s">
        <v>145</v>
      </c>
      <c r="B177" s="104" t="s">
        <v>9</v>
      </c>
      <c r="C177" s="104" t="s">
        <v>12</v>
      </c>
      <c r="D177" s="104" t="s">
        <v>12</v>
      </c>
      <c r="E177" s="104" t="s">
        <v>149</v>
      </c>
      <c r="F177" s="104"/>
      <c r="G177" s="104"/>
      <c r="H177" s="104"/>
      <c r="I177" s="106">
        <f>I178+I179</f>
        <v>0</v>
      </c>
      <c r="J177" s="106">
        <f>J179+J178</f>
        <v>0</v>
      </c>
      <c r="K177" s="106">
        <f>K179+K178</f>
        <v>0</v>
      </c>
      <c r="L177" s="115"/>
      <c r="M177" s="195"/>
      <c r="N177" s="196"/>
      <c r="O177" s="20">
        <f>I177-J177-K177</f>
        <v>0</v>
      </c>
      <c r="P177" s="21" t="e">
        <f t="shared" si="95"/>
        <v>#DIV/0!</v>
      </c>
      <c r="Q177" s="321"/>
      <c r="R177" s="32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33" hidden="1" customHeight="1" x14ac:dyDescent="0.25">
      <c r="A178" s="194" t="s">
        <v>27</v>
      </c>
      <c r="B178" s="112" t="s">
        <v>9</v>
      </c>
      <c r="C178" s="112" t="s">
        <v>12</v>
      </c>
      <c r="D178" s="112" t="s">
        <v>12</v>
      </c>
      <c r="E178" s="112" t="s">
        <v>149</v>
      </c>
      <c r="F178" s="112" t="s">
        <v>63</v>
      </c>
      <c r="G178" s="112" t="s">
        <v>28</v>
      </c>
      <c r="H178" s="129"/>
      <c r="I178" s="116"/>
      <c r="J178" s="117"/>
      <c r="K178" s="130">
        <f>I178-J178</f>
        <v>0</v>
      </c>
      <c r="L178" s="131"/>
      <c r="M178" s="184"/>
      <c r="N178" s="185"/>
      <c r="O178" s="132"/>
      <c r="P178" s="133"/>
      <c r="Q178" s="325"/>
      <c r="R178" s="326"/>
    </row>
    <row r="179" spans="1:50" s="2" customFormat="1" ht="27.75" hidden="1" customHeight="1" x14ac:dyDescent="0.25">
      <c r="A179" s="175" t="s">
        <v>31</v>
      </c>
      <c r="B179" s="112" t="s">
        <v>9</v>
      </c>
      <c r="C179" s="112" t="s">
        <v>12</v>
      </c>
      <c r="D179" s="112" t="s">
        <v>12</v>
      </c>
      <c r="E179" s="112" t="s">
        <v>149</v>
      </c>
      <c r="F179" s="112" t="s">
        <v>63</v>
      </c>
      <c r="G179" s="112" t="s">
        <v>32</v>
      </c>
      <c r="H179" s="112"/>
      <c r="I179" s="116"/>
      <c r="J179" s="117"/>
      <c r="K179" s="116">
        <f>I179-J179</f>
        <v>0</v>
      </c>
      <c r="L179" s="131"/>
      <c r="M179" s="182"/>
      <c r="N179" s="183"/>
      <c r="O179" s="119">
        <f t="shared" ref="O179" si="96">I179-J179-K179</f>
        <v>0</v>
      </c>
      <c r="P179" s="120" t="e">
        <f t="shared" ref="P179:P185" si="97">J179/I179*100</f>
        <v>#DIV/0!</v>
      </c>
      <c r="Q179" s="323"/>
      <c r="R179" s="32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s="2" customFormat="1" ht="60" customHeight="1" x14ac:dyDescent="0.25">
      <c r="A180" s="199" t="s">
        <v>156</v>
      </c>
      <c r="B180" s="104" t="s">
        <v>9</v>
      </c>
      <c r="C180" s="104" t="s">
        <v>12</v>
      </c>
      <c r="D180" s="104" t="s">
        <v>14</v>
      </c>
      <c r="E180" s="104" t="s">
        <v>157</v>
      </c>
      <c r="F180" s="104"/>
      <c r="G180" s="104"/>
      <c r="H180" s="104"/>
      <c r="I180" s="106">
        <f>I181+I182</f>
        <v>6358968</v>
      </c>
      <c r="J180" s="106">
        <f>J182+J181</f>
        <v>3843576.29</v>
      </c>
      <c r="K180" s="106">
        <f>K182+K181</f>
        <v>2515391.71</v>
      </c>
      <c r="L180" s="115"/>
      <c r="M180" s="195"/>
      <c r="N180" s="196"/>
      <c r="O180" s="20">
        <f>I180-J180-K180</f>
        <v>0</v>
      </c>
      <c r="P180" s="21">
        <f t="shared" si="97"/>
        <v>60.443397261945655</v>
      </c>
      <c r="Q180" s="321"/>
      <c r="R180" s="32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33" customHeight="1" x14ac:dyDescent="0.25">
      <c r="A181" s="194" t="s">
        <v>27</v>
      </c>
      <c r="B181" s="112" t="s">
        <v>9</v>
      </c>
      <c r="C181" s="112" t="s">
        <v>12</v>
      </c>
      <c r="D181" s="112" t="s">
        <v>14</v>
      </c>
      <c r="E181" s="112" t="s">
        <v>157</v>
      </c>
      <c r="F181" s="112" t="s">
        <v>63</v>
      </c>
      <c r="G181" s="112" t="s">
        <v>28</v>
      </c>
      <c r="H181" s="129"/>
      <c r="I181" s="116">
        <v>4884000</v>
      </c>
      <c r="J181" s="117">
        <v>2952055.52</v>
      </c>
      <c r="K181" s="116">
        <f>I181-J181</f>
        <v>1931944.48</v>
      </c>
      <c r="L181" s="131"/>
      <c r="M181" s="184"/>
      <c r="N181" s="185"/>
      <c r="O181" s="119">
        <f t="shared" ref="O181:O182" si="98">I181-J181-K181</f>
        <v>0</v>
      </c>
      <c r="P181" s="120">
        <f t="shared" si="97"/>
        <v>60.443397215397219</v>
      </c>
      <c r="Q181" s="325"/>
      <c r="R181" s="326"/>
    </row>
    <row r="182" spans="1:50" s="2" customFormat="1" ht="27.75" customHeight="1" x14ac:dyDescent="0.25">
      <c r="A182" s="175" t="s">
        <v>31</v>
      </c>
      <c r="B182" s="112" t="s">
        <v>9</v>
      </c>
      <c r="C182" s="112" t="s">
        <v>12</v>
      </c>
      <c r="D182" s="112" t="s">
        <v>14</v>
      </c>
      <c r="E182" s="112" t="s">
        <v>157</v>
      </c>
      <c r="F182" s="112" t="s">
        <v>63</v>
      </c>
      <c r="G182" s="112" t="s">
        <v>32</v>
      </c>
      <c r="H182" s="112"/>
      <c r="I182" s="116">
        <v>1474968</v>
      </c>
      <c r="J182" s="117">
        <v>891520.77</v>
      </c>
      <c r="K182" s="116">
        <f>I182-J182</f>
        <v>583447.23</v>
      </c>
      <c r="L182" s="131"/>
      <c r="M182" s="182"/>
      <c r="N182" s="183"/>
      <c r="O182" s="119">
        <f t="shared" si="98"/>
        <v>0</v>
      </c>
      <c r="P182" s="120">
        <f t="shared" si="97"/>
        <v>60.443397416079534</v>
      </c>
      <c r="Q182" s="323"/>
      <c r="R182" s="32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s="2" customFormat="1" ht="60" customHeight="1" x14ac:dyDescent="0.25">
      <c r="A183" s="199" t="s">
        <v>156</v>
      </c>
      <c r="B183" s="104" t="s">
        <v>9</v>
      </c>
      <c r="C183" s="104" t="s">
        <v>12</v>
      </c>
      <c r="D183" s="104" t="s">
        <v>14</v>
      </c>
      <c r="E183" s="104" t="s">
        <v>158</v>
      </c>
      <c r="F183" s="104"/>
      <c r="G183" s="104"/>
      <c r="H183" s="104"/>
      <c r="I183" s="106">
        <f>I184+I185</f>
        <v>289044</v>
      </c>
      <c r="J183" s="106">
        <f>J185+J184</f>
        <v>171864.34</v>
      </c>
      <c r="K183" s="106">
        <f>K185+K184</f>
        <v>117179.66</v>
      </c>
      <c r="L183" s="115"/>
      <c r="M183" s="195"/>
      <c r="N183" s="196"/>
      <c r="O183" s="20">
        <f>I183-J183-K183</f>
        <v>0</v>
      </c>
      <c r="P183" s="21">
        <f t="shared" si="97"/>
        <v>59.45957708860935</v>
      </c>
      <c r="Q183" s="321"/>
      <c r="R183" s="32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33" customHeight="1" x14ac:dyDescent="0.25">
      <c r="A184" s="194" t="s">
        <v>27</v>
      </c>
      <c r="B184" s="112" t="s">
        <v>9</v>
      </c>
      <c r="C184" s="112" t="s">
        <v>12</v>
      </c>
      <c r="D184" s="112" t="s">
        <v>14</v>
      </c>
      <c r="E184" s="112" t="s">
        <v>158</v>
      </c>
      <c r="F184" s="112" t="s">
        <v>63</v>
      </c>
      <c r="G184" s="112" t="s">
        <v>28</v>
      </c>
      <c r="H184" s="129"/>
      <c r="I184" s="116">
        <v>222000</v>
      </c>
      <c r="J184" s="117">
        <v>132000.28</v>
      </c>
      <c r="K184" s="116">
        <f>I184-J184</f>
        <v>89999.72</v>
      </c>
      <c r="L184" s="131"/>
      <c r="M184" s="184"/>
      <c r="N184" s="185"/>
      <c r="O184" s="119">
        <f t="shared" ref="O184:O185" si="99">I184-J184-K184</f>
        <v>0</v>
      </c>
      <c r="P184" s="120">
        <f t="shared" si="97"/>
        <v>59.459585585585586</v>
      </c>
      <c r="Q184" s="325"/>
      <c r="R184" s="326"/>
    </row>
    <row r="185" spans="1:50" s="2" customFormat="1" ht="27.75" customHeight="1" x14ac:dyDescent="0.25">
      <c r="A185" s="175" t="s">
        <v>31</v>
      </c>
      <c r="B185" s="112" t="s">
        <v>9</v>
      </c>
      <c r="C185" s="112" t="s">
        <v>12</v>
      </c>
      <c r="D185" s="112" t="s">
        <v>14</v>
      </c>
      <c r="E185" s="112" t="s">
        <v>158</v>
      </c>
      <c r="F185" s="112" t="s">
        <v>63</v>
      </c>
      <c r="G185" s="112" t="s">
        <v>32</v>
      </c>
      <c r="H185" s="112"/>
      <c r="I185" s="116">
        <v>67044</v>
      </c>
      <c r="J185" s="117">
        <v>39864.06</v>
      </c>
      <c r="K185" s="116">
        <f>I185-J185</f>
        <v>27179.940000000002</v>
      </c>
      <c r="L185" s="131"/>
      <c r="M185" s="182"/>
      <c r="N185" s="183"/>
      <c r="O185" s="119">
        <f t="shared" si="99"/>
        <v>0</v>
      </c>
      <c r="P185" s="120">
        <f t="shared" si="97"/>
        <v>59.459548952926433</v>
      </c>
      <c r="Q185" s="323"/>
      <c r="R185" s="324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9.5" customHeight="1" x14ac:dyDescent="0.25">
      <c r="A186" s="327" t="s">
        <v>80</v>
      </c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9"/>
      <c r="Q186" s="330"/>
      <c r="R186" s="330"/>
    </row>
    <row r="187" spans="1:50" s="15" customFormat="1" ht="72.75" customHeight="1" x14ac:dyDescent="0.25">
      <c r="A187" s="202" t="s">
        <v>120</v>
      </c>
      <c r="B187" s="16" t="s">
        <v>81</v>
      </c>
      <c r="C187" s="16" t="s">
        <v>82</v>
      </c>
      <c r="D187" s="16" t="s">
        <v>82</v>
      </c>
      <c r="E187" s="16" t="s">
        <v>83</v>
      </c>
      <c r="F187" s="16" t="s">
        <v>81</v>
      </c>
      <c r="G187" s="16"/>
      <c r="H187" s="16"/>
      <c r="I187" s="17">
        <f>I188</f>
        <v>4268106.4000000004</v>
      </c>
      <c r="J187" s="17">
        <f>J188</f>
        <v>1763204.12</v>
      </c>
      <c r="K187" s="17">
        <f>I187-J187</f>
        <v>2504902.2800000003</v>
      </c>
      <c r="L187" s="17">
        <f t="shared" ref="L187:N187" si="100">L188</f>
        <v>0</v>
      </c>
      <c r="M187" s="17">
        <f t="shared" si="100"/>
        <v>0</v>
      </c>
      <c r="N187" s="17">
        <f t="shared" si="100"/>
        <v>0</v>
      </c>
      <c r="O187" s="20">
        <f t="shared" ref="O187:O188" si="101">I187-J187-K187</f>
        <v>0</v>
      </c>
      <c r="P187" s="21">
        <f>J187/I187*100</f>
        <v>41.311156629084969</v>
      </c>
      <c r="Q187" s="331"/>
      <c r="R187" s="331"/>
      <c r="S187" s="1"/>
      <c r="T187" s="1"/>
      <c r="U187" s="1"/>
      <c r="V187" s="1"/>
      <c r="W187" s="1"/>
      <c r="X187" s="1"/>
      <c r="Y187" s="1"/>
    </row>
    <row r="188" spans="1:50" s="15" customFormat="1" ht="18.75" customHeight="1" x14ac:dyDescent="0.25">
      <c r="A188" s="32" t="s">
        <v>113</v>
      </c>
      <c r="B188" s="22" t="s">
        <v>81</v>
      </c>
      <c r="C188" s="22" t="s">
        <v>82</v>
      </c>
      <c r="D188" s="22" t="s">
        <v>82</v>
      </c>
      <c r="E188" s="22" t="s">
        <v>83</v>
      </c>
      <c r="F188" s="22" t="s">
        <v>81</v>
      </c>
      <c r="G188" s="22" t="s">
        <v>114</v>
      </c>
      <c r="H188" s="22"/>
      <c r="I188" s="23">
        <v>4268106.4000000004</v>
      </c>
      <c r="J188" s="23">
        <v>1763204.12</v>
      </c>
      <c r="K188" s="23">
        <f>I188-J188</f>
        <v>2504902.2800000003</v>
      </c>
      <c r="L188" s="38"/>
      <c r="M188" s="29"/>
      <c r="N188" s="1"/>
      <c r="O188" s="25">
        <f t="shared" si="101"/>
        <v>0</v>
      </c>
      <c r="P188" s="26">
        <f>J188/I188*100</f>
        <v>41.311156629084969</v>
      </c>
      <c r="Q188" s="331"/>
      <c r="R188" s="331"/>
      <c r="S188" s="1"/>
      <c r="T188" s="1"/>
      <c r="U188" s="1"/>
      <c r="V188" s="1"/>
      <c r="W188" s="1"/>
      <c r="X188" s="1"/>
      <c r="Y188" s="1"/>
    </row>
    <row r="189" spans="1:50" ht="0.75" customHeight="1" x14ac:dyDescent="0.25">
      <c r="A189" s="70"/>
      <c r="B189" s="70"/>
      <c r="C189" s="70"/>
      <c r="D189" s="70"/>
      <c r="E189" s="70"/>
      <c r="F189" s="70"/>
      <c r="G189" s="70"/>
      <c r="H189" s="71"/>
      <c r="I189" s="126"/>
      <c r="J189" s="127"/>
      <c r="K189" s="72"/>
      <c r="L189" s="1"/>
      <c r="M189" s="1"/>
    </row>
    <row r="190" spans="1:50" ht="19.5" customHeight="1" x14ac:dyDescent="0.25">
      <c r="A190" s="327" t="s">
        <v>186</v>
      </c>
      <c r="B190" s="328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9"/>
      <c r="Q190" s="330"/>
      <c r="R190" s="330"/>
    </row>
    <row r="191" spans="1:50" s="15" customFormat="1" ht="76.5" customHeight="1" x14ac:dyDescent="0.25">
      <c r="A191" s="202"/>
      <c r="B191" s="16" t="s">
        <v>81</v>
      </c>
      <c r="C191" s="16" t="s">
        <v>82</v>
      </c>
      <c r="D191" s="16" t="s">
        <v>82</v>
      </c>
      <c r="E191" s="16" t="s">
        <v>83</v>
      </c>
      <c r="F191" s="16" t="s">
        <v>81</v>
      </c>
      <c r="G191" s="16"/>
      <c r="H191" s="16"/>
      <c r="I191" s="17">
        <f>I193+I192</f>
        <v>1250000</v>
      </c>
      <c r="J191" s="17">
        <f>J193</f>
        <v>572579.69999999995</v>
      </c>
      <c r="K191" s="17">
        <f>I191-J191</f>
        <v>677420.3</v>
      </c>
      <c r="L191" s="17">
        <f t="shared" ref="L191:N191" si="102">L193</f>
        <v>0</v>
      </c>
      <c r="M191" s="17">
        <f t="shared" si="102"/>
        <v>0</v>
      </c>
      <c r="N191" s="17">
        <f t="shared" si="102"/>
        <v>0</v>
      </c>
      <c r="O191" s="20">
        <f t="shared" ref="O191:O193" si="103">I191-J191-K191</f>
        <v>0</v>
      </c>
      <c r="P191" s="21">
        <f>J191/I191*100</f>
        <v>45.806376</v>
      </c>
      <c r="Q191" s="331"/>
      <c r="R191" s="331"/>
      <c r="S191" s="1"/>
      <c r="T191" s="1"/>
      <c r="U191" s="1"/>
      <c r="V191" s="1"/>
      <c r="W191" s="1"/>
      <c r="X191" s="1"/>
      <c r="Y191" s="1"/>
    </row>
    <row r="192" spans="1:50" s="15" customFormat="1" ht="18.75" customHeight="1" x14ac:dyDescent="0.25">
      <c r="A192" s="32" t="s">
        <v>113</v>
      </c>
      <c r="B192" s="22" t="s">
        <v>81</v>
      </c>
      <c r="C192" s="22" t="s">
        <v>82</v>
      </c>
      <c r="D192" s="22" t="s">
        <v>82</v>
      </c>
      <c r="E192" s="22" t="s">
        <v>83</v>
      </c>
      <c r="F192" s="22" t="s">
        <v>81</v>
      </c>
      <c r="G192" s="22" t="s">
        <v>48</v>
      </c>
      <c r="H192" s="22"/>
      <c r="I192" s="23">
        <v>368049</v>
      </c>
      <c r="J192" s="23">
        <v>0</v>
      </c>
      <c r="K192" s="23">
        <f>I192-J192</f>
        <v>368049</v>
      </c>
      <c r="L192" s="38"/>
      <c r="M192" s="29"/>
      <c r="N192" s="1"/>
      <c r="O192" s="25">
        <f t="shared" ref="O192" si="104">I192-J192-K192</f>
        <v>0</v>
      </c>
      <c r="P192" s="26">
        <f>J192/I192*100</f>
        <v>0</v>
      </c>
      <c r="Q192" s="331"/>
      <c r="R192" s="331"/>
      <c r="S192" s="1"/>
      <c r="T192" s="1"/>
      <c r="U192" s="1"/>
      <c r="V192" s="1"/>
      <c r="W192" s="1"/>
      <c r="X192" s="1"/>
      <c r="Y192" s="1"/>
    </row>
    <row r="193" spans="1:25" s="15" customFormat="1" ht="18.75" customHeight="1" x14ac:dyDescent="0.25">
      <c r="A193" s="32" t="s">
        <v>113</v>
      </c>
      <c r="B193" s="22" t="s">
        <v>81</v>
      </c>
      <c r="C193" s="22" t="s">
        <v>82</v>
      </c>
      <c r="D193" s="22" t="s">
        <v>82</v>
      </c>
      <c r="E193" s="22" t="s">
        <v>83</v>
      </c>
      <c r="F193" s="22" t="s">
        <v>81</v>
      </c>
      <c r="G193" s="22" t="s">
        <v>104</v>
      </c>
      <c r="H193" s="22"/>
      <c r="I193" s="23">
        <v>881951</v>
      </c>
      <c r="J193" s="23">
        <v>572579.69999999995</v>
      </c>
      <c r="K193" s="23">
        <f>I193-J193</f>
        <v>309371.30000000005</v>
      </c>
      <c r="L193" s="38"/>
      <c r="M193" s="29"/>
      <c r="N193" s="1"/>
      <c r="O193" s="25">
        <f t="shared" si="103"/>
        <v>0</v>
      </c>
      <c r="P193" s="26">
        <f>J193/I193*100</f>
        <v>64.921940107783755</v>
      </c>
      <c r="Q193" s="331"/>
      <c r="R193" s="331"/>
      <c r="S193" s="1"/>
      <c r="T193" s="1"/>
      <c r="U193" s="1"/>
      <c r="V193" s="1"/>
      <c r="W193" s="1"/>
      <c r="X193" s="1"/>
      <c r="Y193" s="1"/>
    </row>
    <row r="194" spans="1:25" ht="27.75" customHeight="1" x14ac:dyDescent="0.25">
      <c r="A194" s="77"/>
      <c r="B194" s="78"/>
      <c r="C194" s="78"/>
      <c r="D194" s="78"/>
      <c r="E194" s="78"/>
      <c r="F194" s="78"/>
      <c r="G194" s="1"/>
      <c r="H194" s="1"/>
      <c r="I194" s="1"/>
      <c r="J194" s="1"/>
      <c r="K194" s="1"/>
      <c r="L194" s="73"/>
      <c r="M194" s="74"/>
      <c r="N194" s="75"/>
      <c r="O194" s="75"/>
      <c r="P194" s="75"/>
    </row>
    <row r="195" spans="1:25" ht="40.5" customHeight="1" x14ac:dyDescent="0.25">
      <c r="A195" s="379" t="s">
        <v>181</v>
      </c>
      <c r="B195" s="379"/>
      <c r="C195" s="379"/>
      <c r="D195" s="379"/>
      <c r="E195" s="379"/>
      <c r="F195" s="379"/>
      <c r="G195" s="379"/>
      <c r="H195" s="80"/>
      <c r="I195" s="1"/>
      <c r="J195" s="1"/>
      <c r="K195" s="1"/>
      <c r="L195" s="73"/>
      <c r="M195" s="74"/>
      <c r="N195" s="75"/>
      <c r="O195" s="75"/>
      <c r="P195" s="75"/>
    </row>
    <row r="196" spans="1:25" ht="15" customHeight="1" x14ac:dyDescent="0.25">
      <c r="A196" s="379" t="s">
        <v>177</v>
      </c>
      <c r="B196" s="379"/>
      <c r="C196" s="379"/>
      <c r="D196" s="379"/>
      <c r="E196" s="379"/>
      <c r="F196" s="379"/>
      <c r="G196" s="379"/>
      <c r="H196" s="80"/>
      <c r="I196" s="1"/>
      <c r="J196" s="1"/>
      <c r="K196" s="1"/>
      <c r="L196" s="73"/>
      <c r="M196" s="74"/>
      <c r="N196" s="75"/>
      <c r="O196" s="75"/>
      <c r="P196" s="75"/>
    </row>
    <row r="197" spans="1:25" ht="18.75" x14ac:dyDescent="0.25">
      <c r="A197" s="83"/>
      <c r="B197" s="84"/>
      <c r="C197" s="84"/>
      <c r="D197" s="84"/>
      <c r="E197" s="84"/>
      <c r="F197" s="84"/>
      <c r="G197" s="1"/>
      <c r="H197" s="1"/>
      <c r="I197" s="1"/>
      <c r="J197" s="1"/>
      <c r="K197" s="1"/>
      <c r="L197" s="73"/>
      <c r="M197" s="74"/>
      <c r="N197" s="75"/>
      <c r="O197" s="75"/>
      <c r="P197" s="75"/>
    </row>
    <row r="198" spans="1:25" x14ac:dyDescent="0.25">
      <c r="A198" s="1"/>
      <c r="B198" s="1"/>
      <c r="C198" s="1"/>
      <c r="D198" s="1"/>
      <c r="E198" s="1"/>
      <c r="F198" s="1"/>
      <c r="L198" s="73"/>
      <c r="M198" s="74"/>
      <c r="N198" s="75"/>
      <c r="O198" s="75"/>
      <c r="P198" s="75"/>
    </row>
    <row r="199" spans="1:25" x14ac:dyDescent="0.25">
      <c r="A199" s="1"/>
      <c r="B199" s="1"/>
      <c r="C199" s="1"/>
      <c r="D199" s="1"/>
      <c r="E199" s="1"/>
      <c r="F199" s="1"/>
      <c r="L199" s="73"/>
      <c r="M199" s="74"/>
      <c r="N199" s="75"/>
      <c r="O199" s="75"/>
      <c r="P199" s="75"/>
    </row>
    <row r="200" spans="1:25" x14ac:dyDescent="0.25">
      <c r="A200" s="1"/>
      <c r="B200" s="1"/>
      <c r="C200" s="1"/>
      <c r="D200" s="1"/>
      <c r="E200" s="1"/>
      <c r="F200" s="1"/>
      <c r="J200" s="246">
        <f>SUM(J193+J188+J185+J184+J182+J181+J169+J161+J159+J157+J152+J148+J147+J145+J136+J131+J130+J129+J128+J127+J126+J124+J123+J121+J120+J118+J117+J115+J113++J108+J107+J105+J104+J99+J98+J96+J95++J93+J91+J89+J87+J86+J84+J83+J82+J70+J68+J67+J66+J65+J64+J63+J55+J54+J52+J51+J49+J47+J45+J44+J43+J42+J40+J39+J38+J37+J36+J35+J34+J33+J31+J30+J29+J28+J27+J26+J25+J24+J23+J21+J20+J19+J17+J16+J192+J92+J72)</f>
        <v>75541745.430000007</v>
      </c>
      <c r="L200" s="73"/>
      <c r="M200" s="74"/>
      <c r="N200" s="75"/>
      <c r="O200" s="75"/>
      <c r="P200" s="75"/>
    </row>
    <row r="201" spans="1:25" x14ac:dyDescent="0.25">
      <c r="A201" s="1"/>
      <c r="B201" s="1"/>
      <c r="C201" s="1"/>
      <c r="D201" s="1"/>
      <c r="E201" s="1"/>
      <c r="F201" s="1"/>
      <c r="J201" s="128">
        <v>75541745.430000007</v>
      </c>
    </row>
    <row r="202" spans="1:25" x14ac:dyDescent="0.25">
      <c r="A202" s="1"/>
      <c r="B202" s="1"/>
      <c r="C202" s="1"/>
      <c r="D202" s="1"/>
      <c r="E202" s="1"/>
      <c r="F202" s="1"/>
      <c r="J202" s="246">
        <f>J201-J200</f>
        <v>0</v>
      </c>
      <c r="L202" s="1"/>
      <c r="M202" s="1"/>
    </row>
    <row r="203" spans="1:25" x14ac:dyDescent="0.25">
      <c r="A203" s="1"/>
      <c r="B203" s="1"/>
      <c r="C203" s="1"/>
      <c r="D203" s="1"/>
      <c r="E203" s="1"/>
      <c r="F203" s="1"/>
      <c r="L203" s="1"/>
      <c r="M203" s="1"/>
    </row>
    <row r="204" spans="1:25" x14ac:dyDescent="0.25">
      <c r="A204" s="1"/>
      <c r="B204" s="1"/>
      <c r="C204" s="1"/>
      <c r="D204" s="1"/>
      <c r="E204" s="1"/>
      <c r="F204" s="1"/>
      <c r="L204" s="1"/>
      <c r="M204" s="1"/>
    </row>
    <row r="205" spans="1:25" x14ac:dyDescent="0.25">
      <c r="A205" s="1"/>
      <c r="B205" s="1"/>
      <c r="C205" s="1"/>
      <c r="D205" s="1"/>
      <c r="E205" s="1"/>
      <c r="F205" s="1"/>
      <c r="L205" s="1"/>
      <c r="M205" s="1"/>
    </row>
    <row r="206" spans="1:25" x14ac:dyDescent="0.25">
      <c r="A206" s="1"/>
      <c r="B206" s="1"/>
      <c r="C206" s="1"/>
      <c r="D206" s="1"/>
      <c r="E206" s="1"/>
      <c r="F206" s="1"/>
    </row>
    <row r="207" spans="1:25" x14ac:dyDescent="0.25">
      <c r="A207" s="1"/>
      <c r="B207" s="1"/>
      <c r="C207" s="1"/>
      <c r="D207" s="1"/>
      <c r="E207" s="1"/>
      <c r="F207" s="1"/>
    </row>
    <row r="208" spans="1:25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x14ac:dyDescent="0.25">
      <c r="A213" s="1"/>
      <c r="B213" s="1"/>
      <c r="C213" s="1"/>
      <c r="D213" s="1"/>
      <c r="E213" s="1"/>
      <c r="F213" s="1"/>
    </row>
    <row r="214" spans="1:50" x14ac:dyDescent="0.25">
      <c r="A214" s="1"/>
      <c r="B214" s="1"/>
      <c r="C214" s="1"/>
      <c r="D214" s="1"/>
      <c r="E214" s="1"/>
      <c r="F214" s="1"/>
    </row>
    <row r="215" spans="1:50" x14ac:dyDescent="0.25">
      <c r="A215" s="1"/>
      <c r="B215" s="1"/>
      <c r="C215" s="1"/>
      <c r="D215" s="1"/>
      <c r="E215" s="1"/>
      <c r="F215" s="1"/>
    </row>
    <row r="216" spans="1:50" x14ac:dyDescent="0.25">
      <c r="A216" s="1"/>
      <c r="B216" s="1"/>
      <c r="C216" s="1"/>
      <c r="D216" s="1"/>
      <c r="E216" s="1"/>
      <c r="F216" s="1"/>
    </row>
    <row r="217" spans="1:50" s="68" customFormat="1" x14ac:dyDescent="0.25">
      <c r="A217" s="1"/>
      <c r="B217" s="1"/>
      <c r="C217" s="1"/>
      <c r="D217" s="1"/>
      <c r="E217" s="1"/>
      <c r="F217" s="1"/>
      <c r="I217" s="128"/>
      <c r="J217" s="128"/>
      <c r="K217" s="76"/>
      <c r="L217" s="76"/>
      <c r="M217" s="2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68" customFormat="1" x14ac:dyDescent="0.25">
      <c r="A218" s="85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8" customFormat="1" x14ac:dyDescent="0.25">
      <c r="A219" s="85"/>
      <c r="I219" s="128"/>
      <c r="J219" s="128"/>
      <c r="K219" s="76"/>
      <c r="L219" s="76"/>
      <c r="M219" s="2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8" customFormat="1" x14ac:dyDescent="0.25">
      <c r="A220" s="85"/>
      <c r="I220" s="128"/>
      <c r="J220" s="128"/>
      <c r="K220" s="76"/>
      <c r="L220" s="76"/>
      <c r="M220" s="2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8" customFormat="1" x14ac:dyDescent="0.25">
      <c r="A221" s="85"/>
      <c r="I221" s="128"/>
      <c r="J221" s="128"/>
      <c r="K221" s="76"/>
      <c r="L221" s="76"/>
      <c r="M221" s="2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68" customFormat="1" x14ac:dyDescent="0.25">
      <c r="A222" s="85"/>
      <c r="I222" s="128"/>
      <c r="J222" s="128"/>
      <c r="K222" s="76"/>
      <c r="L222" s="76"/>
      <c r="M222" s="2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68" customFormat="1" x14ac:dyDescent="0.25">
      <c r="A223" s="85"/>
      <c r="I223" s="128"/>
      <c r="J223" s="128"/>
      <c r="K223" s="76"/>
      <c r="L223" s="76"/>
      <c r="M223" s="2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68" customFormat="1" x14ac:dyDescent="0.25">
      <c r="A224" s="85"/>
      <c r="I224" s="128"/>
      <c r="J224" s="128"/>
      <c r="K224" s="76"/>
      <c r="L224" s="76"/>
      <c r="M224" s="2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68" customFormat="1" x14ac:dyDescent="0.25">
      <c r="A225" s="85"/>
      <c r="I225" s="128"/>
      <c r="J225" s="128"/>
      <c r="K225" s="76"/>
      <c r="L225" s="76"/>
      <c r="M225" s="2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</sheetData>
  <mergeCells count="179">
    <mergeCell ref="N93:O93"/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57:R57"/>
    <mergeCell ref="Q58:R58"/>
    <mergeCell ref="Q59:R59"/>
    <mergeCell ref="Q60:R60"/>
    <mergeCell ref="Q61:R70"/>
    <mergeCell ref="A73:P73"/>
    <mergeCell ref="Q73:R73"/>
    <mergeCell ref="Q51:R51"/>
    <mergeCell ref="Q52:R52"/>
    <mergeCell ref="Q53:R53"/>
    <mergeCell ref="Q54:R54"/>
    <mergeCell ref="Q55:R55"/>
    <mergeCell ref="Q56:R56"/>
    <mergeCell ref="Q80:R80"/>
    <mergeCell ref="Q81:R81"/>
    <mergeCell ref="Q82:R82"/>
    <mergeCell ref="Q83:R83"/>
    <mergeCell ref="Q84:R84"/>
    <mergeCell ref="Q85:R85"/>
    <mergeCell ref="Q74:R74"/>
    <mergeCell ref="Q75:R75"/>
    <mergeCell ref="Q76:R76"/>
    <mergeCell ref="Q77:R77"/>
    <mergeCell ref="Q78:R78"/>
    <mergeCell ref="Q79:R79"/>
    <mergeCell ref="Q94:R94"/>
    <mergeCell ref="Q95:R95"/>
    <mergeCell ref="Q96:R96"/>
    <mergeCell ref="Q97:R97"/>
    <mergeCell ref="Q98:R98"/>
    <mergeCell ref="Q86:R86"/>
    <mergeCell ref="Q87:R87"/>
    <mergeCell ref="Q88:R88"/>
    <mergeCell ref="Q89:R89"/>
    <mergeCell ref="Q90:R90"/>
    <mergeCell ref="Q91:R91"/>
    <mergeCell ref="Q92:R92"/>
    <mergeCell ref="Q105:R105"/>
    <mergeCell ref="Q106:R106"/>
    <mergeCell ref="Q107:R107"/>
    <mergeCell ref="Q108:R108"/>
    <mergeCell ref="A109:P109"/>
    <mergeCell ref="Q109:R109"/>
    <mergeCell ref="Q99:R99"/>
    <mergeCell ref="Q100:R100"/>
    <mergeCell ref="Q101:R101"/>
    <mergeCell ref="Q102:R102"/>
    <mergeCell ref="Q103:R103"/>
    <mergeCell ref="Q104:R104"/>
    <mergeCell ref="Q116:R116"/>
    <mergeCell ref="Q117:R117"/>
    <mergeCell ref="Q118:R118"/>
    <mergeCell ref="Q119:R119"/>
    <mergeCell ref="Q120:R120"/>
    <mergeCell ref="Q121:R121"/>
    <mergeCell ref="Q110:R110"/>
    <mergeCell ref="Q111:R111"/>
    <mergeCell ref="Q112:R112"/>
    <mergeCell ref="Q113:R113"/>
    <mergeCell ref="Q114:R114"/>
    <mergeCell ref="Q115:R115"/>
    <mergeCell ref="Q128:R128"/>
    <mergeCell ref="Q130:R130"/>
    <mergeCell ref="Q131:R131"/>
    <mergeCell ref="Q132:R134"/>
    <mergeCell ref="Q135:R136"/>
    <mergeCell ref="Q137:R138"/>
    <mergeCell ref="Q122:R122"/>
    <mergeCell ref="Q123:R123"/>
    <mergeCell ref="Q124:R124"/>
    <mergeCell ref="Q125:R125"/>
    <mergeCell ref="Q126:R126"/>
    <mergeCell ref="Q127:R127"/>
    <mergeCell ref="Q151:R152"/>
    <mergeCell ref="A153:P153"/>
    <mergeCell ref="Q153:R153"/>
    <mergeCell ref="Q154:R154"/>
    <mergeCell ref="Q155:R155"/>
    <mergeCell ref="Q156:R156"/>
    <mergeCell ref="Q139:R140"/>
    <mergeCell ref="Q142:R143"/>
    <mergeCell ref="Q144:R144"/>
    <mergeCell ref="Q145:R145"/>
    <mergeCell ref="Q146:R148"/>
    <mergeCell ref="Q149:R150"/>
    <mergeCell ref="Q163:R163"/>
    <mergeCell ref="Q164:R164"/>
    <mergeCell ref="Q165:R165"/>
    <mergeCell ref="Q166:R166"/>
    <mergeCell ref="Q167:R167"/>
    <mergeCell ref="Q168:R168"/>
    <mergeCell ref="Q157:R157"/>
    <mergeCell ref="Q158:R158"/>
    <mergeCell ref="Q159:R159"/>
    <mergeCell ref="Q160:R160"/>
    <mergeCell ref="Q161:R161"/>
    <mergeCell ref="Q162:R162"/>
    <mergeCell ref="Q175:R175"/>
    <mergeCell ref="Q176:R176"/>
    <mergeCell ref="Q177:R179"/>
    <mergeCell ref="Q180:R182"/>
    <mergeCell ref="Q183:R185"/>
    <mergeCell ref="A186:P186"/>
    <mergeCell ref="Q186:R186"/>
    <mergeCell ref="Q169:R169"/>
    <mergeCell ref="Q170:R170"/>
    <mergeCell ref="Q171:R171"/>
    <mergeCell ref="Q172:R172"/>
    <mergeCell ref="Q173:R173"/>
    <mergeCell ref="Q174:R174"/>
    <mergeCell ref="A195:G195"/>
    <mergeCell ref="A196:G196"/>
    <mergeCell ref="Q192:R192"/>
    <mergeCell ref="Q187:R187"/>
    <mergeCell ref="Q188:R188"/>
    <mergeCell ref="A190:P190"/>
    <mergeCell ref="Q190:R190"/>
    <mergeCell ref="Q191:R191"/>
    <mergeCell ref="Q193:R193"/>
  </mergeCells>
  <printOptions horizontalCentered="1"/>
  <pageMargins left="3.937007874015748E-2" right="3.937007874015748E-2" top="0.15748031496062992" bottom="0" header="0.11811023622047245" footer="0"/>
  <pageSetup paperSize="9" scale="53" fitToHeight="7" orientation="landscape" r:id="rId1"/>
  <rowBreaks count="2" manualBreakCount="2">
    <brk id="37" max="18" man="1"/>
    <brk id="63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X226"/>
  <sheetViews>
    <sheetView showWhiteSpace="0" view="pageBreakPreview" zoomScale="70" zoomScaleNormal="75" zoomScaleSheetLayoutView="70" workbookViewId="0">
      <pane ySplit="5" topLeftCell="A24" activePane="bottomLeft" state="frozen"/>
      <selection pane="bottomLeft" activeCell="O33" sqref="O33"/>
    </sheetView>
  </sheetViews>
  <sheetFormatPr defaultColWidth="9.140625" defaultRowHeight="15" x14ac:dyDescent="0.25"/>
  <cols>
    <col min="1" max="1" width="70.5703125" style="85" customWidth="1"/>
    <col min="2" max="2" width="7.42578125" style="68" customWidth="1"/>
    <col min="3" max="4" width="6.28515625" style="68" customWidth="1"/>
    <col min="5" max="5" width="16.28515625" style="68" customWidth="1"/>
    <col min="6" max="6" width="8.85546875" style="68" customWidth="1"/>
    <col min="7" max="7" width="11.42578125" style="68" customWidth="1"/>
    <col min="8" max="8" width="11.28515625" style="68" customWidth="1"/>
    <col min="9" max="9" width="18" style="128" customWidth="1"/>
    <col min="10" max="10" width="18.28515625" style="128" customWidth="1"/>
    <col min="11" max="11" width="18.7109375" style="76" customWidth="1"/>
    <col min="12" max="12" width="19.28515625" style="76" hidden="1" customWidth="1"/>
    <col min="13" max="13" width="16.5703125" style="29" hidden="1" customWidth="1"/>
    <col min="14" max="14" width="15.140625" style="1" hidden="1" customWidth="1"/>
    <col min="15" max="15" width="22.140625" style="1" customWidth="1"/>
    <col min="16" max="16" width="19.42578125" style="1" customWidth="1"/>
    <col min="17" max="17" width="12.42578125" style="1" bestFit="1" customWidth="1"/>
    <col min="18" max="18" width="15.42578125" style="1" customWidth="1"/>
    <col min="19" max="19" width="10.140625" style="1" bestFit="1" customWidth="1"/>
    <col min="20" max="20" width="26.28515625" style="1" bestFit="1" customWidth="1"/>
    <col min="21" max="21" width="9.140625" style="1"/>
    <col min="22" max="22" width="24.5703125" style="1" bestFit="1" customWidth="1"/>
    <col min="23" max="16384" width="9.140625" style="1"/>
  </cols>
  <sheetData>
    <row r="1" spans="1:50" ht="22.5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50" ht="22.9" customHeight="1" x14ac:dyDescent="0.3">
      <c r="A2" s="364" t="s">
        <v>195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50" ht="32.25" customHeight="1" x14ac:dyDescent="0.25">
      <c r="A3" s="365" t="s">
        <v>1</v>
      </c>
      <c r="B3" s="367" t="s">
        <v>2</v>
      </c>
      <c r="C3" s="369" t="s">
        <v>3</v>
      </c>
      <c r="D3" s="370"/>
      <c r="E3" s="370"/>
      <c r="F3" s="371"/>
      <c r="G3" s="365" t="s">
        <v>4</v>
      </c>
      <c r="H3" s="375" t="s">
        <v>5</v>
      </c>
      <c r="I3" s="377" t="s">
        <v>164</v>
      </c>
      <c r="J3" s="377" t="s">
        <v>196</v>
      </c>
      <c r="K3" s="353" t="s">
        <v>6</v>
      </c>
      <c r="L3" s="169"/>
      <c r="M3" s="170"/>
      <c r="N3" s="169"/>
      <c r="O3" s="353" t="s">
        <v>7</v>
      </c>
      <c r="P3" s="355" t="s">
        <v>197</v>
      </c>
      <c r="Q3" s="357" t="s">
        <v>91</v>
      </c>
      <c r="R3" s="358"/>
    </row>
    <row r="4" spans="1:50" s="2" customFormat="1" ht="28.5" customHeight="1" x14ac:dyDescent="0.25">
      <c r="A4" s="366"/>
      <c r="B4" s="368"/>
      <c r="C4" s="372"/>
      <c r="D4" s="373"/>
      <c r="E4" s="373"/>
      <c r="F4" s="374"/>
      <c r="G4" s="366"/>
      <c r="H4" s="376"/>
      <c r="I4" s="378"/>
      <c r="J4" s="378"/>
      <c r="K4" s="354"/>
      <c r="L4" s="171"/>
      <c r="M4" s="172"/>
      <c r="N4" s="171"/>
      <c r="O4" s="354"/>
      <c r="P4" s="356"/>
      <c r="Q4" s="359"/>
      <c r="R4" s="36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2" customFormat="1" ht="18.75" customHeight="1" x14ac:dyDescent="0.2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159">
        <v>9</v>
      </c>
      <c r="J5" s="159">
        <v>10</v>
      </c>
      <c r="K5" s="5">
        <v>11</v>
      </c>
      <c r="L5" s="6"/>
      <c r="M5" s="7"/>
      <c r="N5" s="6"/>
      <c r="O5" s="5">
        <v>12</v>
      </c>
      <c r="P5" s="4">
        <v>13</v>
      </c>
      <c r="Q5" s="361">
        <v>14</v>
      </c>
      <c r="R5" s="3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82.5" customHeight="1" x14ac:dyDescent="0.25">
      <c r="A6" s="161" t="s">
        <v>8</v>
      </c>
      <c r="B6" s="162" t="s">
        <v>9</v>
      </c>
      <c r="C6" s="162"/>
      <c r="D6" s="162"/>
      <c r="E6" s="162"/>
      <c r="F6" s="162"/>
      <c r="G6" s="162"/>
      <c r="H6" s="162"/>
      <c r="I6" s="160">
        <f>I8+I75+I111+I155+I188+I192</f>
        <v>125716120.74000001</v>
      </c>
      <c r="J6" s="160">
        <f>J8+J75+J111+J155+J188+J192</f>
        <v>81864368.790000007</v>
      </c>
      <c r="K6" s="160">
        <f>K8+K75+K111+K155+K188+K192</f>
        <v>43982190.75999999</v>
      </c>
      <c r="L6" s="160" t="e">
        <f t="shared" ref="L6:O6" si="0">L8+L75+L111+L155+L188+L192</f>
        <v>#REF!</v>
      </c>
      <c r="M6" s="160" t="e">
        <f t="shared" si="0"/>
        <v>#REF!</v>
      </c>
      <c r="N6" s="160" t="e">
        <f t="shared" si="0"/>
        <v>#REF!</v>
      </c>
      <c r="O6" s="160">
        <f t="shared" si="0"/>
        <v>56.839999999996508</v>
      </c>
      <c r="P6" s="163">
        <f>J6/I6*100</f>
        <v>65.118433744315041</v>
      </c>
      <c r="Q6" s="363"/>
      <c r="R6" s="363"/>
      <c r="S6" s="91"/>
    </row>
    <row r="7" spans="1:50" s="2" customFormat="1" ht="22.5" customHeight="1" x14ac:dyDescent="0.3">
      <c r="A7" s="333" t="s">
        <v>10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40"/>
      <c r="R7" s="340"/>
    </row>
    <row r="8" spans="1:50" ht="24.75" customHeight="1" x14ac:dyDescent="0.25">
      <c r="A8" s="173" t="s">
        <v>11</v>
      </c>
      <c r="B8" s="8" t="s">
        <v>9</v>
      </c>
      <c r="C8" s="8" t="s">
        <v>12</v>
      </c>
      <c r="D8" s="8"/>
      <c r="E8" s="8"/>
      <c r="F8" s="8"/>
      <c r="G8" s="8"/>
      <c r="H8" s="8"/>
      <c r="I8" s="9">
        <f>I9</f>
        <v>24541919.789999999</v>
      </c>
      <c r="J8" s="9">
        <f>J9</f>
        <v>16403721.389999997</v>
      </c>
      <c r="K8" s="9">
        <f>K9+K61+K69</f>
        <v>8268637.21</v>
      </c>
      <c r="L8" s="9" t="e">
        <f t="shared" ref="L8:O8" si="1">L9+L61+L69</f>
        <v>#REF!</v>
      </c>
      <c r="M8" s="9" t="e">
        <f t="shared" si="1"/>
        <v>#REF!</v>
      </c>
      <c r="N8" s="9" t="e">
        <f t="shared" si="1"/>
        <v>#REF!</v>
      </c>
      <c r="O8" s="9">
        <f t="shared" si="1"/>
        <v>56.839999999996508</v>
      </c>
      <c r="P8" s="12">
        <f>J8/I8*100</f>
        <v>66.839601507800367</v>
      </c>
      <c r="Q8" s="352"/>
      <c r="R8" s="352"/>
    </row>
    <row r="9" spans="1:50" s="15" customFormat="1" ht="33" customHeight="1" x14ac:dyDescent="0.25">
      <c r="A9" s="174" t="s">
        <v>13</v>
      </c>
      <c r="B9" s="13" t="s">
        <v>9</v>
      </c>
      <c r="C9" s="13" t="s">
        <v>12</v>
      </c>
      <c r="D9" s="13" t="s">
        <v>14</v>
      </c>
      <c r="E9" s="13"/>
      <c r="F9" s="13"/>
      <c r="G9" s="13"/>
      <c r="H9" s="164"/>
      <c r="I9" s="157">
        <f>I10+I41+I46+I48+I50+I53+I59+I56+I61+I69+I72</f>
        <v>24541919.789999999</v>
      </c>
      <c r="J9" s="157">
        <f>J10+J41+J46+J48+J50+J53+J59+J56+J61+J69+J72</f>
        <v>16403721.389999997</v>
      </c>
      <c r="K9" s="157">
        <f>K10+K41+K46+K48+K50+K53+K59+K56+K61+K69+K72</f>
        <v>8268637.21</v>
      </c>
      <c r="L9" s="157" t="e">
        <f t="shared" ref="L9:O9" si="2">L10+L41+L46+L48+L50+L53+L59+L56+L61+L69+L72</f>
        <v>#REF!</v>
      </c>
      <c r="M9" s="157" t="e">
        <f t="shared" si="2"/>
        <v>#REF!</v>
      </c>
      <c r="N9" s="157" t="e">
        <f t="shared" si="2"/>
        <v>#REF!</v>
      </c>
      <c r="O9" s="157">
        <f t="shared" si="2"/>
        <v>28.419999999998254</v>
      </c>
      <c r="P9" s="157" t="e">
        <f>P10+P41+P46+P48+P50+P53+P59+P56+P61+P69+P72</f>
        <v>#DIV/0!</v>
      </c>
      <c r="Q9" s="352"/>
      <c r="R9" s="352"/>
    </row>
    <row r="10" spans="1:50" ht="39" customHeight="1" x14ac:dyDescent="0.25">
      <c r="A10" s="40" t="s">
        <v>15</v>
      </c>
      <c r="B10" s="41" t="s">
        <v>9</v>
      </c>
      <c r="C10" s="41" t="s">
        <v>12</v>
      </c>
      <c r="D10" s="41" t="s">
        <v>14</v>
      </c>
      <c r="E10" s="41" t="s">
        <v>16</v>
      </c>
      <c r="F10" s="41"/>
      <c r="G10" s="41"/>
      <c r="H10" s="41"/>
      <c r="I10" s="17">
        <f>I11</f>
        <v>10840639.619999997</v>
      </c>
      <c r="J10" s="17">
        <f>J11</f>
        <v>7406418.8399999999</v>
      </c>
      <c r="K10" s="17">
        <f>K11</f>
        <v>3434220.7800000003</v>
      </c>
      <c r="L10" s="17" t="e">
        <f t="shared" ref="K10:N11" si="3">L11</f>
        <v>#REF!</v>
      </c>
      <c r="M10" s="17">
        <f t="shared" si="3"/>
        <v>0</v>
      </c>
      <c r="N10" s="17">
        <f t="shared" si="3"/>
        <v>0</v>
      </c>
      <c r="O10" s="20">
        <f>I10-J10-K10</f>
        <v>0</v>
      </c>
      <c r="P10" s="21">
        <f t="shared" ref="P10:P60" si="4">J10/I10*100</f>
        <v>68.320865738732138</v>
      </c>
      <c r="Q10" s="352"/>
      <c r="R10" s="352"/>
    </row>
    <row r="11" spans="1:50" ht="56.25" x14ac:dyDescent="0.25">
      <c r="A11" s="99" t="s">
        <v>17</v>
      </c>
      <c r="B11" s="22" t="s">
        <v>9</v>
      </c>
      <c r="C11" s="22" t="s">
        <v>12</v>
      </c>
      <c r="D11" s="22" t="s">
        <v>14</v>
      </c>
      <c r="E11" s="22" t="s">
        <v>16</v>
      </c>
      <c r="F11" s="22" t="s">
        <v>18</v>
      </c>
      <c r="G11" s="22"/>
      <c r="H11" s="22"/>
      <c r="I11" s="28">
        <f>I12</f>
        <v>10840639.619999997</v>
      </c>
      <c r="J11" s="28">
        <f>J12</f>
        <v>7406418.8399999999</v>
      </c>
      <c r="K11" s="33">
        <f t="shared" si="3"/>
        <v>3434220.7800000003</v>
      </c>
      <c r="L11" s="33" t="e">
        <f t="shared" si="3"/>
        <v>#REF!</v>
      </c>
      <c r="M11" s="33">
        <f t="shared" si="3"/>
        <v>0</v>
      </c>
      <c r="N11" s="33">
        <f t="shared" si="3"/>
        <v>0</v>
      </c>
      <c r="O11" s="88">
        <f t="shared" ref="O11:O12" si="5">I11-J11-K11</f>
        <v>0</v>
      </c>
      <c r="P11" s="26">
        <f t="shared" si="4"/>
        <v>68.320865738732138</v>
      </c>
      <c r="Q11" s="352"/>
      <c r="R11" s="352"/>
      <c r="T11" s="278">
        <f>'[1]09.21'!$C$318</f>
        <v>125716120.73999999</v>
      </c>
      <c r="U11" s="227"/>
      <c r="V11" s="277">
        <f>'[1]09.21'!$M$318</f>
        <v>81864368.790000007</v>
      </c>
    </row>
    <row r="12" spans="1:50" ht="23.25" customHeight="1" x14ac:dyDescent="0.35">
      <c r="A12" s="175" t="s">
        <v>19</v>
      </c>
      <c r="B12" s="22" t="s">
        <v>9</v>
      </c>
      <c r="C12" s="22" t="s">
        <v>12</v>
      </c>
      <c r="D12" s="22" t="s">
        <v>14</v>
      </c>
      <c r="E12" s="22" t="s">
        <v>16</v>
      </c>
      <c r="F12" s="22" t="s">
        <v>20</v>
      </c>
      <c r="G12" s="22"/>
      <c r="H12" s="22"/>
      <c r="I12" s="35">
        <f>I13</f>
        <v>10840639.619999997</v>
      </c>
      <c r="J12" s="35">
        <f>J13</f>
        <v>7406418.8399999999</v>
      </c>
      <c r="K12" s="35">
        <f>K13</f>
        <v>3434220.7800000003</v>
      </c>
      <c r="L12" s="87" t="e">
        <f>L13</f>
        <v>#REF!</v>
      </c>
      <c r="M12" s="176"/>
      <c r="N12" s="177"/>
      <c r="O12" s="88">
        <f t="shared" si="5"/>
        <v>0</v>
      </c>
      <c r="P12" s="26">
        <f t="shared" si="4"/>
        <v>68.320865738732138</v>
      </c>
      <c r="Q12" s="352"/>
      <c r="R12" s="352"/>
      <c r="T12" s="279">
        <v>44433</v>
      </c>
      <c r="V12" s="225">
        <f>V11-J6</f>
        <v>0</v>
      </c>
    </row>
    <row r="13" spans="1:50" ht="57" thickBot="1" x14ac:dyDescent="0.3">
      <c r="A13" s="175" t="s">
        <v>21</v>
      </c>
      <c r="B13" s="22" t="s">
        <v>9</v>
      </c>
      <c r="C13" s="22" t="s">
        <v>12</v>
      </c>
      <c r="D13" s="22" t="s">
        <v>14</v>
      </c>
      <c r="E13" s="22" t="s">
        <v>16</v>
      </c>
      <c r="F13" s="22" t="s">
        <v>22</v>
      </c>
      <c r="G13" s="22"/>
      <c r="H13" s="22"/>
      <c r="I13" s="35">
        <f>I14+I32</f>
        <v>10840639.619999997</v>
      </c>
      <c r="J13" s="35">
        <f>J14+J32</f>
        <v>7406418.8399999999</v>
      </c>
      <c r="K13" s="35">
        <f>K14+K32</f>
        <v>3434220.7800000003</v>
      </c>
      <c r="L13" s="35" t="e">
        <f>L14+L32+#REF!</f>
        <v>#REF!</v>
      </c>
      <c r="M13" s="35" t="e">
        <f>M14+M32+#REF!</f>
        <v>#REF!</v>
      </c>
      <c r="N13" s="35" t="e">
        <f>N14+N32+#REF!</f>
        <v>#REF!</v>
      </c>
      <c r="O13" s="88">
        <f>I13-J13-K13</f>
        <v>0</v>
      </c>
      <c r="P13" s="26">
        <f t="shared" si="4"/>
        <v>68.320865738732138</v>
      </c>
      <c r="Q13" s="352"/>
      <c r="R13" s="352"/>
      <c r="T13" s="280">
        <v>125716120.73999999</v>
      </c>
    </row>
    <row r="14" spans="1:50" ht="24.75" customHeight="1" x14ac:dyDescent="0.25">
      <c r="A14" s="175" t="s">
        <v>23</v>
      </c>
      <c r="B14" s="22" t="s">
        <v>9</v>
      </c>
      <c r="C14" s="22" t="s">
        <v>12</v>
      </c>
      <c r="D14" s="22" t="s">
        <v>14</v>
      </c>
      <c r="E14" s="22" t="s">
        <v>16</v>
      </c>
      <c r="F14" s="22" t="s">
        <v>22</v>
      </c>
      <c r="G14" s="22" t="s">
        <v>24</v>
      </c>
      <c r="H14" s="22"/>
      <c r="I14" s="28">
        <f>I15+I22+I27+I29+I30+I31+I21+I18+I28</f>
        <v>9340440.8499999978</v>
      </c>
      <c r="J14" s="28">
        <f>J15+J22+J27+J29+J30+J31+J21+J18+J28</f>
        <v>6457764</v>
      </c>
      <c r="K14" s="28">
        <f>K15+K22+K27+K29+K30+K31+K21+K18+K28</f>
        <v>2832676.85</v>
      </c>
      <c r="L14" s="28" t="e">
        <f t="shared" ref="L14:N14" si="6">L15+L22+L27+L29+L30+L31+L21+L18+L28</f>
        <v>#REF!</v>
      </c>
      <c r="M14" s="28">
        <f t="shared" si="6"/>
        <v>21575.229999999854</v>
      </c>
      <c r="N14" s="28">
        <f t="shared" si="6"/>
        <v>638523.26000000024</v>
      </c>
      <c r="O14" s="28">
        <f>O15+O22+O27+O29+O30+O31+O21+O18+O28</f>
        <v>50000</v>
      </c>
      <c r="P14" s="26">
        <f t="shared" si="4"/>
        <v>69.137678870906839</v>
      </c>
      <c r="Q14" s="342"/>
      <c r="R14" s="342"/>
    </row>
    <row r="15" spans="1:50" ht="27" customHeight="1" x14ac:dyDescent="0.25">
      <c r="A15" s="175" t="s">
        <v>25</v>
      </c>
      <c r="B15" s="22" t="s">
        <v>9</v>
      </c>
      <c r="C15" s="22" t="s">
        <v>12</v>
      </c>
      <c r="D15" s="22" t="s">
        <v>14</v>
      </c>
      <c r="E15" s="22" t="s">
        <v>16</v>
      </c>
      <c r="F15" s="22" t="s">
        <v>22</v>
      </c>
      <c r="G15" s="22" t="s">
        <v>26</v>
      </c>
      <c r="H15" s="22"/>
      <c r="I15" s="28">
        <f>I16+I17</f>
        <v>2923372.46</v>
      </c>
      <c r="J15" s="28">
        <f>J16+J17</f>
        <v>1878557.83</v>
      </c>
      <c r="K15" s="28">
        <f>K16+K17</f>
        <v>1044814.6299999999</v>
      </c>
      <c r="L15" s="28">
        <f t="shared" ref="L15:N15" si="7">L16+L17+L18</f>
        <v>703076.35000000009</v>
      </c>
      <c r="M15" s="28">
        <f t="shared" si="7"/>
        <v>64553.089999999851</v>
      </c>
      <c r="N15" s="28">
        <f t="shared" si="7"/>
        <v>638523.26000000024</v>
      </c>
      <c r="O15" s="28">
        <f>O16+O17</f>
        <v>0</v>
      </c>
      <c r="P15" s="26">
        <f t="shared" si="4"/>
        <v>64.259955093098199</v>
      </c>
      <c r="Q15" s="349"/>
      <c r="R15" s="350"/>
    </row>
    <row r="16" spans="1:50" ht="18.75" x14ac:dyDescent="0.25">
      <c r="A16" s="175" t="s">
        <v>27</v>
      </c>
      <c r="B16" s="22" t="s">
        <v>9</v>
      </c>
      <c r="C16" s="22" t="s">
        <v>12</v>
      </c>
      <c r="D16" s="22" t="s">
        <v>14</v>
      </c>
      <c r="E16" s="22" t="s">
        <v>16</v>
      </c>
      <c r="F16" s="22" t="s">
        <v>22</v>
      </c>
      <c r="G16" s="22" t="s">
        <v>28</v>
      </c>
      <c r="H16" s="22"/>
      <c r="I16" s="228">
        <v>2238335.23</v>
      </c>
      <c r="J16" s="229">
        <v>1470705.79</v>
      </c>
      <c r="K16" s="100">
        <f>I16-J16</f>
        <v>767629.44</v>
      </c>
      <c r="L16" s="100">
        <f t="shared" ref="L16:N16" si="8">J16-K16</f>
        <v>703076.35000000009</v>
      </c>
      <c r="M16" s="100">
        <f t="shared" si="8"/>
        <v>64553.089999999851</v>
      </c>
      <c r="N16" s="100">
        <f t="shared" si="8"/>
        <v>638523.26000000024</v>
      </c>
      <c r="O16" s="153">
        <f>I16-J16-K16</f>
        <v>0</v>
      </c>
      <c r="P16" s="26">
        <f t="shared" si="4"/>
        <v>65.705340750053793</v>
      </c>
      <c r="Q16" s="342"/>
      <c r="R16" s="342"/>
    </row>
    <row r="17" spans="1:18" ht="21.75" customHeight="1" x14ac:dyDescent="0.25">
      <c r="A17" s="175" t="s">
        <v>31</v>
      </c>
      <c r="B17" s="22" t="s">
        <v>9</v>
      </c>
      <c r="C17" s="22" t="s">
        <v>12</v>
      </c>
      <c r="D17" s="22" t="s">
        <v>14</v>
      </c>
      <c r="E17" s="22" t="s">
        <v>16</v>
      </c>
      <c r="F17" s="22" t="s">
        <v>22</v>
      </c>
      <c r="G17" s="22" t="s">
        <v>32</v>
      </c>
      <c r="H17" s="22"/>
      <c r="I17" s="23">
        <v>685037.23</v>
      </c>
      <c r="J17" s="23">
        <v>407852.04</v>
      </c>
      <c r="K17" s="100">
        <f>I17-J17</f>
        <v>277185.19</v>
      </c>
      <c r="L17" s="165"/>
      <c r="M17" s="176"/>
      <c r="N17" s="177"/>
      <c r="O17" s="153">
        <f t="shared" ref="O17:O21" si="9">I17-J17-K17</f>
        <v>0</v>
      </c>
      <c r="P17" s="26">
        <f t="shared" si="4"/>
        <v>59.537207926640711</v>
      </c>
      <c r="Q17" s="351"/>
      <c r="R17" s="351"/>
    </row>
    <row r="18" spans="1:18" ht="21" customHeight="1" x14ac:dyDescent="0.25">
      <c r="A18" s="179" t="s">
        <v>33</v>
      </c>
      <c r="B18" s="27" t="s">
        <v>9</v>
      </c>
      <c r="C18" s="27" t="s">
        <v>12</v>
      </c>
      <c r="D18" s="27" t="s">
        <v>14</v>
      </c>
      <c r="E18" s="27" t="s">
        <v>16</v>
      </c>
      <c r="F18" s="27" t="s">
        <v>22</v>
      </c>
      <c r="G18" s="27" t="s">
        <v>34</v>
      </c>
      <c r="H18" s="22"/>
      <c r="I18" s="33">
        <f>I19+I20</f>
        <v>45000</v>
      </c>
      <c r="J18" s="33">
        <f t="shared" ref="J18:O18" si="10">J19+J20</f>
        <v>27189</v>
      </c>
      <c r="K18" s="28">
        <f t="shared" si="10"/>
        <v>17811</v>
      </c>
      <c r="L18" s="28">
        <f t="shared" si="10"/>
        <v>0</v>
      </c>
      <c r="M18" s="28">
        <f t="shared" si="10"/>
        <v>0</v>
      </c>
      <c r="N18" s="28">
        <f t="shared" si="10"/>
        <v>0</v>
      </c>
      <c r="O18" s="28">
        <f t="shared" si="10"/>
        <v>0</v>
      </c>
      <c r="P18" s="26">
        <f t="shared" si="4"/>
        <v>60.419999999999995</v>
      </c>
      <c r="Q18" s="331"/>
      <c r="R18" s="331"/>
    </row>
    <row r="19" spans="1:18" ht="21" customHeight="1" x14ac:dyDescent="0.25">
      <c r="A19" s="175" t="s">
        <v>37</v>
      </c>
      <c r="B19" s="22" t="s">
        <v>9</v>
      </c>
      <c r="C19" s="22" t="s">
        <v>12</v>
      </c>
      <c r="D19" s="22" t="s">
        <v>14</v>
      </c>
      <c r="E19" s="22" t="s">
        <v>16</v>
      </c>
      <c r="F19" s="22" t="s">
        <v>22</v>
      </c>
      <c r="G19" s="22" t="s">
        <v>38</v>
      </c>
      <c r="H19" s="22"/>
      <c r="I19" s="23">
        <v>0</v>
      </c>
      <c r="J19" s="23">
        <v>0</v>
      </c>
      <c r="K19" s="35">
        <f t="shared" ref="K19:K21" si="11">I19-J19</f>
        <v>0</v>
      </c>
      <c r="L19" s="28"/>
      <c r="M19" s="28"/>
      <c r="N19" s="28"/>
      <c r="O19" s="35">
        <f t="shared" si="9"/>
        <v>0</v>
      </c>
      <c r="P19" s="26" t="e">
        <f t="shared" si="4"/>
        <v>#DIV/0!</v>
      </c>
      <c r="Q19" s="338"/>
      <c r="R19" s="339"/>
    </row>
    <row r="20" spans="1:18" ht="21" customHeight="1" x14ac:dyDescent="0.25">
      <c r="A20" s="175" t="s">
        <v>43</v>
      </c>
      <c r="B20" s="22" t="s">
        <v>9</v>
      </c>
      <c r="C20" s="22" t="s">
        <v>12</v>
      </c>
      <c r="D20" s="22" t="s">
        <v>14</v>
      </c>
      <c r="E20" s="22" t="s">
        <v>16</v>
      </c>
      <c r="F20" s="22" t="s">
        <v>22</v>
      </c>
      <c r="G20" s="22" t="s">
        <v>44</v>
      </c>
      <c r="H20" s="22"/>
      <c r="I20" s="23">
        <v>45000</v>
      </c>
      <c r="J20" s="35">
        <v>27189</v>
      </c>
      <c r="K20" s="35">
        <f t="shared" si="11"/>
        <v>17811</v>
      </c>
      <c r="L20" s="28"/>
      <c r="M20" s="28"/>
      <c r="N20" s="28"/>
      <c r="O20" s="35">
        <f t="shared" si="9"/>
        <v>0</v>
      </c>
      <c r="P20" s="26">
        <f t="shared" si="4"/>
        <v>60.419999999999995</v>
      </c>
      <c r="Q20" s="338"/>
      <c r="R20" s="339"/>
    </row>
    <row r="21" spans="1:18" ht="41.25" customHeight="1" x14ac:dyDescent="0.25">
      <c r="A21" s="179" t="s">
        <v>93</v>
      </c>
      <c r="B21" s="27" t="s">
        <v>9</v>
      </c>
      <c r="C21" s="27" t="s">
        <v>12</v>
      </c>
      <c r="D21" s="27" t="s">
        <v>14</v>
      </c>
      <c r="E21" s="27" t="s">
        <v>16</v>
      </c>
      <c r="F21" s="27" t="s">
        <v>22</v>
      </c>
      <c r="G21" s="27" t="s">
        <v>94</v>
      </c>
      <c r="H21" s="27"/>
      <c r="I21" s="33">
        <v>30000</v>
      </c>
      <c r="J21" s="28">
        <v>15623.82</v>
      </c>
      <c r="K21" s="28">
        <f t="shared" si="11"/>
        <v>14376.18</v>
      </c>
      <c r="L21" s="166" t="e">
        <f>L22+L23</f>
        <v>#REF!</v>
      </c>
      <c r="M21" s="180"/>
      <c r="N21" s="181"/>
      <c r="O21" s="88">
        <f t="shared" si="9"/>
        <v>0</v>
      </c>
      <c r="P21" s="26">
        <f t="shared" si="4"/>
        <v>52.0794</v>
      </c>
      <c r="Q21" s="338"/>
      <c r="R21" s="339"/>
    </row>
    <row r="22" spans="1:18" ht="24.75" customHeight="1" x14ac:dyDescent="0.25">
      <c r="A22" s="179" t="s">
        <v>33</v>
      </c>
      <c r="B22" s="27" t="s">
        <v>9</v>
      </c>
      <c r="C22" s="27" t="s">
        <v>12</v>
      </c>
      <c r="D22" s="27" t="s">
        <v>14</v>
      </c>
      <c r="E22" s="27" t="s">
        <v>16</v>
      </c>
      <c r="F22" s="27" t="s">
        <v>22</v>
      </c>
      <c r="G22" s="27" t="s">
        <v>34</v>
      </c>
      <c r="H22" s="22"/>
      <c r="I22" s="33">
        <f>I23+I25+I26+I24</f>
        <v>5198320.3899999997</v>
      </c>
      <c r="J22" s="33">
        <f t="shared" ref="J22:O22" si="12">J23+J25+J26+J24</f>
        <v>3727743.21</v>
      </c>
      <c r="K22" s="28">
        <f t="shared" si="12"/>
        <v>1420577.1800000002</v>
      </c>
      <c r="L22" s="28" t="e">
        <f t="shared" si="12"/>
        <v>#REF!</v>
      </c>
      <c r="M22" s="28">
        <f t="shared" si="12"/>
        <v>0</v>
      </c>
      <c r="N22" s="28">
        <f t="shared" si="12"/>
        <v>0</v>
      </c>
      <c r="O22" s="28">
        <f t="shared" si="12"/>
        <v>50000</v>
      </c>
      <c r="P22" s="26">
        <f t="shared" si="4"/>
        <v>71.710532062838098</v>
      </c>
      <c r="Q22" s="331"/>
      <c r="R22" s="331"/>
    </row>
    <row r="23" spans="1:18" ht="18.75" customHeight="1" x14ac:dyDescent="0.25">
      <c r="A23" s="175" t="s">
        <v>35</v>
      </c>
      <c r="B23" s="22" t="s">
        <v>9</v>
      </c>
      <c r="C23" s="22" t="s">
        <v>12</v>
      </c>
      <c r="D23" s="22" t="s">
        <v>14</v>
      </c>
      <c r="E23" s="22" t="s">
        <v>16</v>
      </c>
      <c r="F23" s="22" t="s">
        <v>22</v>
      </c>
      <c r="G23" s="22" t="s">
        <v>36</v>
      </c>
      <c r="H23" s="22"/>
      <c r="I23" s="23">
        <v>155350.32</v>
      </c>
      <c r="J23" s="23">
        <v>91965.95</v>
      </c>
      <c r="K23" s="35">
        <f>I23-J23</f>
        <v>63384.37000000001</v>
      </c>
      <c r="L23" s="165" t="e">
        <f>#REF!</f>
        <v>#REF!</v>
      </c>
      <c r="M23" s="176"/>
      <c r="N23" s="177"/>
      <c r="O23" s="153">
        <f>I23-J23-K23</f>
        <v>0</v>
      </c>
      <c r="P23" s="26">
        <f t="shared" si="4"/>
        <v>59.199073423215346</v>
      </c>
      <c r="Q23" s="331"/>
      <c r="R23" s="331"/>
    </row>
    <row r="24" spans="1:18" ht="21" customHeight="1" x14ac:dyDescent="0.25">
      <c r="A24" s="175" t="s">
        <v>37</v>
      </c>
      <c r="B24" s="22" t="s">
        <v>9</v>
      </c>
      <c r="C24" s="22" t="s">
        <v>12</v>
      </c>
      <c r="D24" s="22" t="s">
        <v>14</v>
      </c>
      <c r="E24" s="22" t="s">
        <v>16</v>
      </c>
      <c r="F24" s="22" t="s">
        <v>22</v>
      </c>
      <c r="G24" s="22" t="s">
        <v>38</v>
      </c>
      <c r="H24" s="22"/>
      <c r="I24" s="23">
        <v>100000</v>
      </c>
      <c r="J24" s="23">
        <v>0</v>
      </c>
      <c r="K24" s="35">
        <f>I24-J24-50000</f>
        <v>50000</v>
      </c>
      <c r="L24" s="165" t="e">
        <f>#REF!</f>
        <v>#REF!</v>
      </c>
      <c r="M24" s="176"/>
      <c r="N24" s="177"/>
      <c r="O24" s="153">
        <f t="shared" ref="O24:O40" si="13">I24-J24-K24</f>
        <v>50000</v>
      </c>
      <c r="P24" s="26">
        <f t="shared" si="4"/>
        <v>0</v>
      </c>
      <c r="Q24" s="349"/>
      <c r="R24" s="350"/>
    </row>
    <row r="25" spans="1:18" ht="24" customHeight="1" x14ac:dyDescent="0.25">
      <c r="A25" s="175" t="s">
        <v>41</v>
      </c>
      <c r="B25" s="22" t="s">
        <v>9</v>
      </c>
      <c r="C25" s="22" t="s">
        <v>12</v>
      </c>
      <c r="D25" s="22" t="s">
        <v>14</v>
      </c>
      <c r="E25" s="22" t="s">
        <v>16</v>
      </c>
      <c r="F25" s="22" t="s">
        <v>22</v>
      </c>
      <c r="G25" s="22" t="s">
        <v>42</v>
      </c>
      <c r="H25" s="22"/>
      <c r="I25" s="23">
        <f>2218116.29+640000</f>
        <v>2858116.29</v>
      </c>
      <c r="J25" s="23">
        <v>2491678.0699999998</v>
      </c>
      <c r="K25" s="35">
        <f>I25-J25</f>
        <v>366438.2200000002</v>
      </c>
      <c r="L25" s="87" t="e">
        <f>SUM(#REF!)</f>
        <v>#REF!</v>
      </c>
      <c r="M25" s="176"/>
      <c r="N25" s="177"/>
      <c r="O25" s="153">
        <f t="shared" si="13"/>
        <v>0</v>
      </c>
      <c r="P25" s="26">
        <f t="shared" si="4"/>
        <v>87.179030423566132</v>
      </c>
      <c r="Q25" s="349"/>
      <c r="R25" s="350"/>
    </row>
    <row r="26" spans="1:18" ht="24.75" customHeight="1" x14ac:dyDescent="0.25">
      <c r="A26" s="175" t="s">
        <v>43</v>
      </c>
      <c r="B26" s="22" t="s">
        <v>9</v>
      </c>
      <c r="C26" s="22" t="s">
        <v>12</v>
      </c>
      <c r="D26" s="22" t="s">
        <v>14</v>
      </c>
      <c r="E26" s="22" t="s">
        <v>16</v>
      </c>
      <c r="F26" s="22" t="s">
        <v>22</v>
      </c>
      <c r="G26" s="22" t="s">
        <v>44</v>
      </c>
      <c r="H26" s="22"/>
      <c r="I26" s="23">
        <f>2835643.25-45000-705789.47</f>
        <v>2084853.78</v>
      </c>
      <c r="J26" s="23">
        <f>1171288.19-J20</f>
        <v>1144099.19</v>
      </c>
      <c r="K26" s="23">
        <f t="shared" ref="K26:K31" si="14">I26-J26</f>
        <v>940754.59000000008</v>
      </c>
      <c r="L26" s="24" t="e">
        <f>#REF!</f>
        <v>#REF!</v>
      </c>
      <c r="M26" s="182"/>
      <c r="N26" s="183"/>
      <c r="O26" s="25">
        <f t="shared" si="13"/>
        <v>0</v>
      </c>
      <c r="P26" s="26">
        <f t="shared" si="4"/>
        <v>54.876711305864333</v>
      </c>
      <c r="Q26" s="347"/>
      <c r="R26" s="348"/>
    </row>
    <row r="27" spans="1:18" ht="18.75" x14ac:dyDescent="0.25">
      <c r="A27" s="175" t="s">
        <v>95</v>
      </c>
      <c r="B27" s="22" t="s">
        <v>9</v>
      </c>
      <c r="C27" s="22" t="s">
        <v>12</v>
      </c>
      <c r="D27" s="22" t="s">
        <v>14</v>
      </c>
      <c r="E27" s="22" t="s">
        <v>16</v>
      </c>
      <c r="F27" s="22" t="s">
        <v>22</v>
      </c>
      <c r="G27" s="22" t="s">
        <v>98</v>
      </c>
      <c r="H27" s="22"/>
      <c r="I27" s="23">
        <f>1141625.86</f>
        <v>1141625.8600000001</v>
      </c>
      <c r="J27" s="23">
        <v>806528</v>
      </c>
      <c r="K27" s="23">
        <f t="shared" si="14"/>
        <v>335097.8600000001</v>
      </c>
      <c r="L27" s="24">
        <f t="shared" ref="L27:L28" si="15">L29+L30</f>
        <v>45000</v>
      </c>
      <c r="M27" s="182"/>
      <c r="N27" s="183"/>
      <c r="O27" s="25">
        <f t="shared" si="13"/>
        <v>0</v>
      </c>
      <c r="P27" s="26">
        <f t="shared" si="4"/>
        <v>70.647313472734396</v>
      </c>
      <c r="Q27" s="331"/>
      <c r="R27" s="331"/>
    </row>
    <row r="28" spans="1:18" ht="18.75" x14ac:dyDescent="0.25">
      <c r="A28" s="175" t="s">
        <v>95</v>
      </c>
      <c r="B28" s="22" t="s">
        <v>9</v>
      </c>
      <c r="C28" s="22" t="s">
        <v>12</v>
      </c>
      <c r="D28" s="22" t="s">
        <v>14</v>
      </c>
      <c r="E28" s="22" t="s">
        <v>16</v>
      </c>
      <c r="F28" s="22" t="s">
        <v>22</v>
      </c>
      <c r="G28" s="22" t="s">
        <v>98</v>
      </c>
      <c r="H28" s="22"/>
      <c r="I28" s="23">
        <v>100</v>
      </c>
      <c r="J28" s="23">
        <v>100</v>
      </c>
      <c r="K28" s="23">
        <f t="shared" si="14"/>
        <v>0</v>
      </c>
      <c r="L28" s="24">
        <f t="shared" si="15"/>
        <v>30000</v>
      </c>
      <c r="M28" s="182"/>
      <c r="N28" s="183"/>
      <c r="O28" s="25">
        <f t="shared" si="13"/>
        <v>0</v>
      </c>
      <c r="P28" s="26">
        <f t="shared" si="4"/>
        <v>100</v>
      </c>
      <c r="Q28" s="331"/>
      <c r="R28" s="331"/>
    </row>
    <row r="29" spans="1:18" ht="37.5" x14ac:dyDescent="0.25">
      <c r="A29" s="175" t="s">
        <v>96</v>
      </c>
      <c r="B29" s="22" t="s">
        <v>9</v>
      </c>
      <c r="C29" s="22" t="s">
        <v>12</v>
      </c>
      <c r="D29" s="22" t="s">
        <v>14</v>
      </c>
      <c r="E29" s="22" t="s">
        <v>16</v>
      </c>
      <c r="F29" s="22" t="s">
        <v>22</v>
      </c>
      <c r="G29" s="22" t="s">
        <v>99</v>
      </c>
      <c r="H29" s="22"/>
      <c r="I29" s="230">
        <f>1213.52+500</f>
        <v>1713.52</v>
      </c>
      <c r="J29" s="230">
        <v>1713.52</v>
      </c>
      <c r="K29" s="23">
        <f t="shared" si="14"/>
        <v>0</v>
      </c>
      <c r="L29" s="38">
        <v>15000</v>
      </c>
      <c r="M29" s="182">
        <f>J29-L29</f>
        <v>-13286.48</v>
      </c>
      <c r="N29" s="183"/>
      <c r="O29" s="25">
        <f t="shared" si="13"/>
        <v>0</v>
      </c>
      <c r="P29" s="26">
        <f t="shared" si="4"/>
        <v>100</v>
      </c>
      <c r="Q29" s="331"/>
      <c r="R29" s="331"/>
    </row>
    <row r="30" spans="1:18" ht="42.75" customHeight="1" x14ac:dyDescent="0.25">
      <c r="A30" s="175" t="s">
        <v>97</v>
      </c>
      <c r="B30" s="22" t="s">
        <v>9</v>
      </c>
      <c r="C30" s="22" t="s">
        <v>12</v>
      </c>
      <c r="D30" s="22" t="s">
        <v>14</v>
      </c>
      <c r="E30" s="22" t="s">
        <v>16</v>
      </c>
      <c r="F30" s="22" t="s">
        <v>22</v>
      </c>
      <c r="G30" s="22" t="s">
        <v>100</v>
      </c>
      <c r="H30" s="22"/>
      <c r="I30" s="23">
        <v>308.62</v>
      </c>
      <c r="J30" s="23">
        <v>308.62</v>
      </c>
      <c r="K30" s="23">
        <f t="shared" si="14"/>
        <v>0</v>
      </c>
      <c r="L30" s="38">
        <v>30000</v>
      </c>
      <c r="M30" s="182">
        <f>J30-L30</f>
        <v>-29691.38</v>
      </c>
      <c r="N30" s="183"/>
      <c r="O30" s="25">
        <f t="shared" si="13"/>
        <v>0</v>
      </c>
      <c r="P30" s="26">
        <f t="shared" si="4"/>
        <v>100</v>
      </c>
      <c r="Q30" s="343"/>
      <c r="R30" s="343"/>
    </row>
    <row r="31" spans="1:18" ht="25.5" customHeight="1" x14ac:dyDescent="0.25">
      <c r="A31" s="175" t="s">
        <v>121</v>
      </c>
      <c r="B31" s="22" t="s">
        <v>9</v>
      </c>
      <c r="C31" s="22" t="s">
        <v>12</v>
      </c>
      <c r="D31" s="22" t="s">
        <v>14</v>
      </c>
      <c r="E31" s="22" t="s">
        <v>16</v>
      </c>
      <c r="F31" s="22" t="s">
        <v>22</v>
      </c>
      <c r="G31" s="22" t="s">
        <v>122</v>
      </c>
      <c r="H31" s="22"/>
      <c r="I31" s="23">
        <v>0</v>
      </c>
      <c r="J31" s="231">
        <v>0</v>
      </c>
      <c r="K31" s="23">
        <f t="shared" si="14"/>
        <v>0</v>
      </c>
      <c r="L31" s="38"/>
      <c r="M31" s="182"/>
      <c r="N31" s="183"/>
      <c r="O31" s="25">
        <f t="shared" si="13"/>
        <v>0</v>
      </c>
      <c r="P31" s="26" t="e">
        <f t="shared" si="4"/>
        <v>#DIV/0!</v>
      </c>
      <c r="Q31" s="344"/>
      <c r="R31" s="345"/>
    </row>
    <row r="32" spans="1:18" s="15" customFormat="1" ht="18.75" x14ac:dyDescent="0.25">
      <c r="A32" s="179" t="s">
        <v>45</v>
      </c>
      <c r="B32" s="27" t="s">
        <v>9</v>
      </c>
      <c r="C32" s="27" t="s">
        <v>12</v>
      </c>
      <c r="D32" s="27" t="s">
        <v>14</v>
      </c>
      <c r="E32" s="27" t="s">
        <v>16</v>
      </c>
      <c r="F32" s="27" t="s">
        <v>22</v>
      </c>
      <c r="G32" s="27" t="s">
        <v>46</v>
      </c>
      <c r="H32" s="27"/>
      <c r="I32" s="33">
        <f>I34+I33+I37+I38+I39+I40+I35+I36</f>
        <v>1500198.77</v>
      </c>
      <c r="J32" s="33">
        <f>J34+J33+J37+J38+J39+J40+J35+J36</f>
        <v>948654.84000000008</v>
      </c>
      <c r="K32" s="33">
        <f>K34+K33+K37+K38+K39+K40+K35+K36</f>
        <v>601543.92999999993</v>
      </c>
      <c r="L32" s="33" t="e">
        <f t="shared" ref="L32:N32" si="16">L34+L33+L37+L38+L39+L40</f>
        <v>#REF!</v>
      </c>
      <c r="M32" s="33">
        <f t="shared" si="16"/>
        <v>-4516033.04</v>
      </c>
      <c r="N32" s="33">
        <f t="shared" si="16"/>
        <v>0</v>
      </c>
      <c r="O32" s="33">
        <f>O34+O33+O37+O38+O39+O40</f>
        <v>-49999.999999999942</v>
      </c>
      <c r="P32" s="31">
        <f t="shared" si="4"/>
        <v>63.23527648272902</v>
      </c>
      <c r="Q32" s="341"/>
      <c r="R32" s="341"/>
    </row>
    <row r="33" spans="1:50" ht="26.25" customHeight="1" x14ac:dyDescent="0.25">
      <c r="A33" s="99" t="s">
        <v>47</v>
      </c>
      <c r="B33" s="22" t="s">
        <v>9</v>
      </c>
      <c r="C33" s="22" t="s">
        <v>12</v>
      </c>
      <c r="D33" s="22" t="s">
        <v>14</v>
      </c>
      <c r="E33" s="22" t="s">
        <v>16</v>
      </c>
      <c r="F33" s="22" t="s">
        <v>22</v>
      </c>
      <c r="G33" s="22" t="s">
        <v>48</v>
      </c>
      <c r="H33" s="22"/>
      <c r="I33" s="23">
        <v>642896.05000000005</v>
      </c>
      <c r="J33" s="23">
        <v>506066.05</v>
      </c>
      <c r="K33" s="23">
        <v>310927</v>
      </c>
      <c r="L33" s="39" t="e">
        <f>#REF!+#REF!+L79+#REF!+#REF!</f>
        <v>#REF!</v>
      </c>
      <c r="M33" s="182"/>
      <c r="N33" s="183"/>
      <c r="O33" s="25">
        <f t="shared" si="13"/>
        <v>-174096.99999999994</v>
      </c>
      <c r="P33" s="26">
        <f t="shared" si="4"/>
        <v>78.716621450699535</v>
      </c>
      <c r="Q33" s="347" t="s">
        <v>199</v>
      </c>
      <c r="R33" s="348"/>
    </row>
    <row r="34" spans="1:50" ht="37.5" x14ac:dyDescent="0.25">
      <c r="A34" s="175" t="s">
        <v>106</v>
      </c>
      <c r="B34" s="22" t="s">
        <v>9</v>
      </c>
      <c r="C34" s="22" t="s">
        <v>12</v>
      </c>
      <c r="D34" s="22" t="s">
        <v>14</v>
      </c>
      <c r="E34" s="22" t="s">
        <v>16</v>
      </c>
      <c r="F34" s="22" t="s">
        <v>22</v>
      </c>
      <c r="G34" s="22" t="s">
        <v>101</v>
      </c>
      <c r="H34" s="22"/>
      <c r="I34" s="23">
        <v>40000</v>
      </c>
      <c r="J34" s="23">
        <v>0</v>
      </c>
      <c r="K34" s="23">
        <f t="shared" ref="K34:K37" si="17">I34-J34</f>
        <v>40000</v>
      </c>
      <c r="L34" s="23">
        <f t="shared" ref="L34:N34" si="18">L37+L39+L40+L38</f>
        <v>2501159.4</v>
      </c>
      <c r="M34" s="23">
        <f t="shared" si="18"/>
        <v>-2258016.52</v>
      </c>
      <c r="N34" s="23">
        <f t="shared" si="18"/>
        <v>0</v>
      </c>
      <c r="O34" s="25">
        <f t="shared" si="13"/>
        <v>0</v>
      </c>
      <c r="P34" s="26">
        <f t="shared" si="4"/>
        <v>0</v>
      </c>
      <c r="Q34" s="331"/>
      <c r="R34" s="331"/>
    </row>
    <row r="35" spans="1:50" ht="22.5" customHeight="1" x14ac:dyDescent="0.25">
      <c r="A35" s="99" t="s">
        <v>113</v>
      </c>
      <c r="B35" s="22" t="s">
        <v>9</v>
      </c>
      <c r="C35" s="22" t="s">
        <v>12</v>
      </c>
      <c r="D35" s="22" t="s">
        <v>14</v>
      </c>
      <c r="E35" s="22" t="s">
        <v>16</v>
      </c>
      <c r="F35" s="22" t="s">
        <v>22</v>
      </c>
      <c r="G35" s="22" t="s">
        <v>114</v>
      </c>
      <c r="H35" s="22"/>
      <c r="I35" s="23">
        <v>0</v>
      </c>
      <c r="J35" s="34">
        <v>0</v>
      </c>
      <c r="K35" s="23">
        <f>I35-J35</f>
        <v>0</v>
      </c>
      <c r="L35" s="97"/>
      <c r="M35" s="98"/>
      <c r="N35" s="98"/>
      <c r="O35" s="25">
        <f t="shared" si="13"/>
        <v>0</v>
      </c>
      <c r="P35" s="26" t="e">
        <f t="shared" si="4"/>
        <v>#DIV/0!</v>
      </c>
      <c r="Q35" s="331"/>
      <c r="R35" s="331"/>
    </row>
    <row r="36" spans="1:50" ht="22.5" customHeight="1" x14ac:dyDescent="0.25">
      <c r="A36" s="99" t="s">
        <v>150</v>
      </c>
      <c r="B36" s="22" t="s">
        <v>9</v>
      </c>
      <c r="C36" s="22" t="s">
        <v>12</v>
      </c>
      <c r="D36" s="22" t="s">
        <v>14</v>
      </c>
      <c r="E36" s="22" t="s">
        <v>16</v>
      </c>
      <c r="F36" s="22" t="s">
        <v>22</v>
      </c>
      <c r="G36" s="22" t="s">
        <v>151</v>
      </c>
      <c r="H36" s="22"/>
      <c r="I36" s="23">
        <v>238.5</v>
      </c>
      <c r="J36" s="34">
        <v>238.5</v>
      </c>
      <c r="K36" s="23">
        <f>I36-J36</f>
        <v>0</v>
      </c>
      <c r="L36" s="97"/>
      <c r="M36" s="98"/>
      <c r="N36" s="98"/>
      <c r="O36" s="25">
        <f t="shared" si="13"/>
        <v>0</v>
      </c>
      <c r="P36" s="26">
        <f t="shared" si="4"/>
        <v>100</v>
      </c>
      <c r="Q36" s="260"/>
      <c r="R36" s="261"/>
    </row>
    <row r="37" spans="1:50" s="15" customFormat="1" ht="26.25" customHeight="1" x14ac:dyDescent="0.25">
      <c r="A37" s="175" t="s">
        <v>107</v>
      </c>
      <c r="B37" s="22" t="s">
        <v>9</v>
      </c>
      <c r="C37" s="22" t="s">
        <v>12</v>
      </c>
      <c r="D37" s="22" t="s">
        <v>14</v>
      </c>
      <c r="E37" s="22" t="s">
        <v>16</v>
      </c>
      <c r="F37" s="22" t="s">
        <v>22</v>
      </c>
      <c r="G37" s="22" t="s">
        <v>102</v>
      </c>
      <c r="H37" s="22"/>
      <c r="I37" s="23">
        <v>150000</v>
      </c>
      <c r="J37" s="34">
        <v>73861.48</v>
      </c>
      <c r="K37" s="23">
        <f t="shared" si="17"/>
        <v>76138.52</v>
      </c>
      <c r="L37" s="38">
        <v>1178466</v>
      </c>
      <c r="M37" s="182">
        <f>J37-L37</f>
        <v>-1104604.52</v>
      </c>
      <c r="N37" s="183"/>
      <c r="O37" s="25">
        <f t="shared" si="13"/>
        <v>0</v>
      </c>
      <c r="P37" s="26">
        <f t="shared" si="4"/>
        <v>49.240986666666664</v>
      </c>
      <c r="Q37" s="347"/>
      <c r="R37" s="348"/>
    </row>
    <row r="38" spans="1:50" s="15" customFormat="1" ht="31.5" customHeight="1" x14ac:dyDescent="0.25">
      <c r="A38" s="175" t="s">
        <v>108</v>
      </c>
      <c r="B38" s="22" t="s">
        <v>9</v>
      </c>
      <c r="C38" s="22" t="s">
        <v>12</v>
      </c>
      <c r="D38" s="22" t="s">
        <v>14</v>
      </c>
      <c r="E38" s="22" t="s">
        <v>16</v>
      </c>
      <c r="F38" s="22" t="s">
        <v>22</v>
      </c>
      <c r="G38" s="22" t="s">
        <v>103</v>
      </c>
      <c r="H38" s="22"/>
      <c r="I38" s="23">
        <v>90000</v>
      </c>
      <c r="J38" s="34">
        <v>25054</v>
      </c>
      <c r="K38" s="23">
        <v>17085</v>
      </c>
      <c r="L38" s="38">
        <v>1178466</v>
      </c>
      <c r="M38" s="182">
        <f>J38-L38</f>
        <v>-1153412</v>
      </c>
      <c r="N38" s="183"/>
      <c r="O38" s="25">
        <f t="shared" si="13"/>
        <v>47861</v>
      </c>
      <c r="P38" s="26">
        <f t="shared" si="4"/>
        <v>27.837777777777777</v>
      </c>
      <c r="Q38" s="388" t="s">
        <v>200</v>
      </c>
      <c r="R38" s="388"/>
    </row>
    <row r="39" spans="1:50" s="2" customFormat="1" ht="37.5" x14ac:dyDescent="0.25">
      <c r="A39" s="175" t="s">
        <v>109</v>
      </c>
      <c r="B39" s="22" t="s">
        <v>9</v>
      </c>
      <c r="C39" s="22" t="s">
        <v>12</v>
      </c>
      <c r="D39" s="22" t="s">
        <v>14</v>
      </c>
      <c r="E39" s="22" t="s">
        <v>16</v>
      </c>
      <c r="F39" s="22" t="s">
        <v>22</v>
      </c>
      <c r="G39" s="22" t="s">
        <v>104</v>
      </c>
      <c r="H39" s="22"/>
      <c r="I39" s="23">
        <v>537064.22</v>
      </c>
      <c r="J39" s="34">
        <v>320519.81</v>
      </c>
      <c r="K39" s="23">
        <f>I39-J39-59151</f>
        <v>157393.40999999997</v>
      </c>
      <c r="L39" s="38"/>
      <c r="M39" s="182"/>
      <c r="N39" s="183"/>
      <c r="O39" s="25">
        <f t="shared" si="13"/>
        <v>59151</v>
      </c>
      <c r="P39" s="26">
        <f t="shared" si="4"/>
        <v>59.679978308739322</v>
      </c>
      <c r="Q39" s="388" t="s">
        <v>201</v>
      </c>
      <c r="R39" s="38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" customFormat="1" ht="37.5" x14ac:dyDescent="0.25">
      <c r="A40" s="175" t="s">
        <v>110</v>
      </c>
      <c r="B40" s="22" t="s">
        <v>9</v>
      </c>
      <c r="C40" s="22" t="s">
        <v>12</v>
      </c>
      <c r="D40" s="22" t="s">
        <v>14</v>
      </c>
      <c r="E40" s="22" t="s">
        <v>16</v>
      </c>
      <c r="F40" s="22" t="s">
        <v>22</v>
      </c>
      <c r="G40" s="22" t="s">
        <v>105</v>
      </c>
      <c r="H40" s="22"/>
      <c r="I40" s="230">
        <v>40000</v>
      </c>
      <c r="J40" s="34">
        <v>22915</v>
      </c>
      <c r="K40" s="23">
        <v>0</v>
      </c>
      <c r="L40" s="38">
        <f>88938.77+50000+5288.63</f>
        <v>144227.40000000002</v>
      </c>
      <c r="M40" s="184"/>
      <c r="N40" s="185"/>
      <c r="O40" s="90">
        <f t="shared" si="13"/>
        <v>17085</v>
      </c>
      <c r="P40" s="26">
        <f>J40/I40*100</f>
        <v>57.287500000000001</v>
      </c>
      <c r="Q40" s="388" t="s">
        <v>202</v>
      </c>
      <c r="R40" s="38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" customFormat="1" ht="118.5" customHeight="1" x14ac:dyDescent="0.25">
      <c r="A41" s="86" t="s">
        <v>49</v>
      </c>
      <c r="B41" s="16" t="s">
        <v>9</v>
      </c>
      <c r="C41" s="41" t="s">
        <v>12</v>
      </c>
      <c r="D41" s="41" t="s">
        <v>14</v>
      </c>
      <c r="E41" s="41" t="s">
        <v>50</v>
      </c>
      <c r="F41" s="41" t="s">
        <v>22</v>
      </c>
      <c r="G41" s="16"/>
      <c r="H41" s="16"/>
      <c r="I41" s="17">
        <f>I42+I44+I45+I43</f>
        <v>601455.84</v>
      </c>
      <c r="J41" s="17">
        <f>J42+J44+J45+J43</f>
        <v>131917.06</v>
      </c>
      <c r="K41" s="17">
        <f>K42+K44+K45+K43</f>
        <v>469538.77999999997</v>
      </c>
      <c r="L41" s="42"/>
      <c r="M41" s="186"/>
      <c r="N41" s="187"/>
      <c r="O41" s="20">
        <f>I41-K41-J41</f>
        <v>0</v>
      </c>
      <c r="P41" s="21">
        <f>J41/I41*100</f>
        <v>21.932958536074736</v>
      </c>
      <c r="Q41" s="331"/>
      <c r="R41" s="331"/>
      <c r="S41" s="29">
        <f>S42+S44</f>
        <v>-46423.159999999974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2" customFormat="1" ht="23.25" customHeight="1" x14ac:dyDescent="0.25">
      <c r="A42" s="175" t="s">
        <v>27</v>
      </c>
      <c r="B42" s="22" t="s">
        <v>9</v>
      </c>
      <c r="C42" s="43" t="s">
        <v>12</v>
      </c>
      <c r="D42" s="43" t="s">
        <v>14</v>
      </c>
      <c r="E42" s="43" t="s">
        <v>50</v>
      </c>
      <c r="F42" s="43" t="s">
        <v>22</v>
      </c>
      <c r="G42" s="43" t="s">
        <v>28</v>
      </c>
      <c r="H42" s="43"/>
      <c r="I42" s="23">
        <v>469250.7</v>
      </c>
      <c r="J42" s="23">
        <v>101054.34</v>
      </c>
      <c r="K42" s="35">
        <f>I42-J42</f>
        <v>368196.36</v>
      </c>
      <c r="L42" s="45"/>
      <c r="M42" s="188"/>
      <c r="N42" s="189"/>
      <c r="O42" s="25">
        <f>I42-K42-J42</f>
        <v>0</v>
      </c>
      <c r="P42" s="26">
        <f t="shared" si="4"/>
        <v>21.535256100843323</v>
      </c>
      <c r="Q42" s="347"/>
      <c r="R42" s="348"/>
      <c r="S42" s="29">
        <f>T42-K42</f>
        <v>-45925.159999999974</v>
      </c>
      <c r="T42" s="1">
        <f>292753+(4919.7*3*2)</f>
        <v>322271.2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2" customFormat="1" ht="24" customHeight="1" x14ac:dyDescent="0.25">
      <c r="A43" s="99" t="s">
        <v>29</v>
      </c>
      <c r="B43" s="22" t="s">
        <v>9</v>
      </c>
      <c r="C43" s="43" t="s">
        <v>12</v>
      </c>
      <c r="D43" s="43" t="s">
        <v>14</v>
      </c>
      <c r="E43" s="43" t="s">
        <v>50</v>
      </c>
      <c r="F43" s="43" t="s">
        <v>22</v>
      </c>
      <c r="G43" s="43" t="s">
        <v>32</v>
      </c>
      <c r="H43" s="43"/>
      <c r="I43" s="23">
        <v>75871.14</v>
      </c>
      <c r="J43" s="34">
        <v>29111.1</v>
      </c>
      <c r="K43" s="35">
        <f>I43-J43</f>
        <v>46760.04</v>
      </c>
      <c r="L43" s="45"/>
      <c r="M43" s="188"/>
      <c r="N43" s="189"/>
      <c r="O43" s="25">
        <f>I43-K43-J43</f>
        <v>0</v>
      </c>
      <c r="P43" s="26">
        <f t="shared" si="4"/>
        <v>38.369134825178584</v>
      </c>
      <c r="Q43" s="338"/>
      <c r="R43" s="3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15" customFormat="1" ht="27" customHeight="1" x14ac:dyDescent="0.25">
      <c r="A44" s="99" t="s">
        <v>31</v>
      </c>
      <c r="B44" s="22" t="s">
        <v>9</v>
      </c>
      <c r="C44" s="43" t="s">
        <v>12</v>
      </c>
      <c r="D44" s="43" t="s">
        <v>14</v>
      </c>
      <c r="E44" s="43" t="s">
        <v>50</v>
      </c>
      <c r="F44" s="43" t="s">
        <v>22</v>
      </c>
      <c r="G44" s="102">
        <v>212</v>
      </c>
      <c r="H44" s="22"/>
      <c r="I44" s="23">
        <v>51834</v>
      </c>
      <c r="J44" s="34">
        <v>0</v>
      </c>
      <c r="K44" s="35">
        <f t="shared" ref="K44:K45" si="19">I44-J44</f>
        <v>51834</v>
      </c>
      <c r="L44" s="45"/>
      <c r="M44" s="188"/>
      <c r="N44" s="189"/>
      <c r="O44" s="25">
        <f>I44-K44-J44</f>
        <v>0</v>
      </c>
      <c r="P44" s="26">
        <f t="shared" si="4"/>
        <v>0</v>
      </c>
      <c r="Q44" s="331"/>
      <c r="R44" s="331"/>
      <c r="S44" s="29">
        <f>T44-K44</f>
        <v>-498</v>
      </c>
      <c r="T44" s="1">
        <f>8556*6</f>
        <v>51336</v>
      </c>
    </row>
    <row r="45" spans="1:50" ht="45.75" customHeight="1" x14ac:dyDescent="0.25">
      <c r="A45" s="175" t="s">
        <v>93</v>
      </c>
      <c r="B45" s="22" t="s">
        <v>9</v>
      </c>
      <c r="C45" s="22" t="s">
        <v>12</v>
      </c>
      <c r="D45" s="22" t="s">
        <v>14</v>
      </c>
      <c r="E45" s="43" t="s">
        <v>50</v>
      </c>
      <c r="F45" s="22" t="s">
        <v>22</v>
      </c>
      <c r="G45" s="22" t="s">
        <v>94</v>
      </c>
      <c r="H45" s="22"/>
      <c r="I45" s="23">
        <v>4500</v>
      </c>
      <c r="J45" s="23">
        <v>1751.62</v>
      </c>
      <c r="K45" s="35">
        <f t="shared" si="19"/>
        <v>2748.38</v>
      </c>
      <c r="L45" s="24" t="e">
        <f t="shared" ref="L45" si="20">L46+L47</f>
        <v>#REF!</v>
      </c>
      <c r="M45" s="182"/>
      <c r="N45" s="183"/>
      <c r="O45" s="25">
        <f t="shared" ref="O45" si="21">I45-J45-K45</f>
        <v>0</v>
      </c>
      <c r="P45" s="26">
        <f t="shared" si="4"/>
        <v>38.924888888888887</v>
      </c>
      <c r="Q45" s="331"/>
      <c r="R45" s="331"/>
    </row>
    <row r="46" spans="1:50" s="2" customFormat="1" ht="97.5" customHeight="1" x14ac:dyDescent="0.25">
      <c r="A46" s="86" t="s">
        <v>87</v>
      </c>
      <c r="B46" s="16" t="s">
        <v>9</v>
      </c>
      <c r="C46" s="41" t="s">
        <v>12</v>
      </c>
      <c r="D46" s="41" t="s">
        <v>14</v>
      </c>
      <c r="E46" s="41" t="s">
        <v>51</v>
      </c>
      <c r="F46" s="41" t="s">
        <v>22</v>
      </c>
      <c r="G46" s="16"/>
      <c r="H46" s="16"/>
      <c r="I46" s="17">
        <f>I47</f>
        <v>1250000</v>
      </c>
      <c r="J46" s="17">
        <f t="shared" ref="J46:O46" si="22">J47</f>
        <v>1380467.23</v>
      </c>
      <c r="K46" s="17">
        <f>K47</f>
        <v>210000</v>
      </c>
      <c r="L46" s="17" t="e">
        <f t="shared" si="22"/>
        <v>#REF!</v>
      </c>
      <c r="M46" s="17" t="e">
        <f t="shared" si="22"/>
        <v>#REF!</v>
      </c>
      <c r="N46" s="17" t="e">
        <f t="shared" si="22"/>
        <v>#REF!</v>
      </c>
      <c r="O46" s="17">
        <f t="shared" si="22"/>
        <v>-210000</v>
      </c>
      <c r="P46" s="21">
        <f t="shared" si="4"/>
        <v>110.43737840000001</v>
      </c>
      <c r="Q46" s="380"/>
      <c r="R46" s="3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43.5" customHeight="1" x14ac:dyDescent="0.25">
      <c r="A47" s="99" t="s">
        <v>111</v>
      </c>
      <c r="B47" s="22" t="s">
        <v>9</v>
      </c>
      <c r="C47" s="22" t="s">
        <v>12</v>
      </c>
      <c r="D47" s="22" t="s">
        <v>14</v>
      </c>
      <c r="E47" s="22" t="s">
        <v>51</v>
      </c>
      <c r="F47" s="22" t="s">
        <v>22</v>
      </c>
      <c r="G47" s="22" t="s">
        <v>112</v>
      </c>
      <c r="H47" s="22"/>
      <c r="I47" s="23">
        <v>1250000</v>
      </c>
      <c r="J47" s="23">
        <v>1380467.23</v>
      </c>
      <c r="K47" s="23">
        <v>210000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>
        <v>-210000</v>
      </c>
      <c r="P47" s="26">
        <f t="shared" si="4"/>
        <v>110.43737840000001</v>
      </c>
      <c r="Q47" s="331"/>
      <c r="R47" s="331"/>
    </row>
    <row r="48" spans="1:50" s="2" customFormat="1" ht="63" customHeight="1" x14ac:dyDescent="0.25">
      <c r="A48" s="86" t="s">
        <v>89</v>
      </c>
      <c r="B48" s="16" t="s">
        <v>9</v>
      </c>
      <c r="C48" s="41" t="s">
        <v>12</v>
      </c>
      <c r="D48" s="41" t="s">
        <v>14</v>
      </c>
      <c r="E48" s="41" t="s">
        <v>84</v>
      </c>
      <c r="F48" s="41" t="s">
        <v>22</v>
      </c>
      <c r="G48" s="16"/>
      <c r="H48" s="16"/>
      <c r="I48" s="17">
        <f>I49</f>
        <v>11444552.800000001</v>
      </c>
      <c r="J48" s="17">
        <f t="shared" ref="J48:K48" si="23">J49</f>
        <v>7121980.4699999997</v>
      </c>
      <c r="K48" s="17">
        <f t="shared" si="23"/>
        <v>4112572.330000001</v>
      </c>
      <c r="L48" s="17" t="e">
        <f>L47</f>
        <v>#REF!</v>
      </c>
      <c r="M48" s="17" t="e">
        <f>M47</f>
        <v>#REF!</v>
      </c>
      <c r="N48" s="17" t="e">
        <f>N47</f>
        <v>#REF!</v>
      </c>
      <c r="O48" s="89">
        <f t="shared" ref="O48" si="24">I48-J48-K48</f>
        <v>210000</v>
      </c>
      <c r="P48" s="17">
        <f>P49</f>
        <v>62.230308116539071</v>
      </c>
      <c r="Q48" s="331"/>
      <c r="R48" s="33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9.5" customHeight="1" x14ac:dyDescent="0.25">
      <c r="A49" s="175" t="s">
        <v>39</v>
      </c>
      <c r="B49" s="22" t="s">
        <v>9</v>
      </c>
      <c r="C49" s="22" t="s">
        <v>12</v>
      </c>
      <c r="D49" s="22" t="s">
        <v>14</v>
      </c>
      <c r="E49" s="22" t="s">
        <v>84</v>
      </c>
      <c r="F49" s="22" t="s">
        <v>22</v>
      </c>
      <c r="G49" s="22" t="s">
        <v>40</v>
      </c>
      <c r="H49" s="22"/>
      <c r="I49" s="23">
        <v>11444552.800000001</v>
      </c>
      <c r="J49" s="34">
        <v>7121980.4699999997</v>
      </c>
      <c r="K49" s="36">
        <f>I49-J49-210000</f>
        <v>4112572.330000001</v>
      </c>
      <c r="L49" s="37"/>
      <c r="M49" s="182"/>
      <c r="N49" s="183"/>
      <c r="O49" s="25">
        <f>I49-J49-K49</f>
        <v>210000</v>
      </c>
      <c r="P49" s="26">
        <f>J49/I49*100</f>
        <v>62.230308116539071</v>
      </c>
      <c r="Q49" s="331"/>
      <c r="R49" s="331"/>
    </row>
    <row r="50" spans="1:50" s="2" customFormat="1" ht="138" customHeight="1" x14ac:dyDescent="0.25">
      <c r="A50" s="86" t="s">
        <v>128</v>
      </c>
      <c r="B50" s="16" t="s">
        <v>9</v>
      </c>
      <c r="C50" s="41" t="s">
        <v>12</v>
      </c>
      <c r="D50" s="41" t="s">
        <v>14</v>
      </c>
      <c r="E50" s="41" t="s">
        <v>52</v>
      </c>
      <c r="F50" s="41" t="s">
        <v>22</v>
      </c>
      <c r="G50" s="16"/>
      <c r="H50" s="16"/>
      <c r="I50" s="17">
        <f>I51+I52</f>
        <v>13369.02</v>
      </c>
      <c r="J50" s="17">
        <f t="shared" ref="J50:K50" si="25">J51+J52</f>
        <v>8412.67</v>
      </c>
      <c r="K50" s="17">
        <f t="shared" si="25"/>
        <v>4956.3500000000004</v>
      </c>
      <c r="L50" s="42"/>
      <c r="M50" s="186"/>
      <c r="N50" s="187"/>
      <c r="O50" s="20">
        <f>I50-J50-K50</f>
        <v>0</v>
      </c>
      <c r="P50" s="21">
        <f t="shared" si="4"/>
        <v>62.926601949881146</v>
      </c>
      <c r="Q50" s="331"/>
      <c r="R50" s="33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2" customFormat="1" ht="18.75" x14ac:dyDescent="0.25">
      <c r="A51" s="175" t="s">
        <v>27</v>
      </c>
      <c r="B51" s="22" t="s">
        <v>9</v>
      </c>
      <c r="C51" s="43" t="s">
        <v>12</v>
      </c>
      <c r="D51" s="43" t="s">
        <v>14</v>
      </c>
      <c r="E51" s="43" t="s">
        <v>52</v>
      </c>
      <c r="F51" s="43" t="s">
        <v>22</v>
      </c>
      <c r="G51" s="43" t="s">
        <v>28</v>
      </c>
      <c r="H51" s="43"/>
      <c r="I51" s="23">
        <v>10268.07</v>
      </c>
      <c r="J51" s="34">
        <v>6810.86</v>
      </c>
      <c r="K51" s="35">
        <f>I51-J51</f>
        <v>3457.21</v>
      </c>
      <c r="L51" s="93"/>
      <c r="M51" s="188"/>
      <c r="N51" s="189"/>
      <c r="O51" s="25">
        <f t="shared" ref="O51:O52" si="26">I51-J51-K51</f>
        <v>0</v>
      </c>
      <c r="P51" s="26">
        <f t="shared" si="4"/>
        <v>66.3304788533775</v>
      </c>
      <c r="Q51" s="331"/>
      <c r="R51" s="33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15" customFormat="1" ht="18.75" x14ac:dyDescent="0.3">
      <c r="A52" s="99" t="s">
        <v>31</v>
      </c>
      <c r="B52" s="22" t="s">
        <v>9</v>
      </c>
      <c r="C52" s="43" t="s">
        <v>12</v>
      </c>
      <c r="D52" s="43" t="s">
        <v>14</v>
      </c>
      <c r="E52" s="43" t="s">
        <v>52</v>
      </c>
      <c r="F52" s="43" t="s">
        <v>22</v>
      </c>
      <c r="G52" s="101">
        <v>213</v>
      </c>
      <c r="H52" s="22"/>
      <c r="I52" s="23">
        <v>3100.95</v>
      </c>
      <c r="J52" s="34">
        <v>1601.81</v>
      </c>
      <c r="K52" s="35">
        <f>I52-J52</f>
        <v>1499.1399999999999</v>
      </c>
      <c r="L52" s="93"/>
      <c r="M52" s="188"/>
      <c r="N52" s="189"/>
      <c r="O52" s="25">
        <f t="shared" si="26"/>
        <v>0</v>
      </c>
      <c r="P52" s="26">
        <f t="shared" si="4"/>
        <v>51.655460423418631</v>
      </c>
      <c r="Q52" s="331"/>
      <c r="R52" s="331"/>
    </row>
    <row r="53" spans="1:50" s="2" customFormat="1" ht="136.5" customHeight="1" x14ac:dyDescent="0.25">
      <c r="A53" s="86" t="s">
        <v>129</v>
      </c>
      <c r="B53" s="16" t="s">
        <v>9</v>
      </c>
      <c r="C53" s="41" t="s">
        <v>12</v>
      </c>
      <c r="D53" s="41" t="s">
        <v>14</v>
      </c>
      <c r="E53" s="41" t="s">
        <v>52</v>
      </c>
      <c r="F53" s="41" t="s">
        <v>22</v>
      </c>
      <c r="G53" s="16"/>
      <c r="H53" s="16"/>
      <c r="I53" s="17">
        <f>I54+I55</f>
        <v>88350.62</v>
      </c>
      <c r="J53" s="17">
        <f t="shared" ref="J53:K53" si="27">J54+J55</f>
        <v>54291.12</v>
      </c>
      <c r="K53" s="17">
        <f t="shared" si="27"/>
        <v>34059.499999999993</v>
      </c>
      <c r="L53" s="42"/>
      <c r="M53" s="186"/>
      <c r="N53" s="187"/>
      <c r="O53" s="20">
        <f>I53-J53-K53</f>
        <v>0</v>
      </c>
      <c r="P53" s="21">
        <f t="shared" si="4"/>
        <v>61.449619708384617</v>
      </c>
      <c r="Q53" s="331"/>
      <c r="R53" s="33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18.75" x14ac:dyDescent="0.25">
      <c r="A54" s="175" t="s">
        <v>27</v>
      </c>
      <c r="B54" s="22" t="s">
        <v>9</v>
      </c>
      <c r="C54" s="43" t="s">
        <v>12</v>
      </c>
      <c r="D54" s="43" t="s">
        <v>14</v>
      </c>
      <c r="E54" s="43" t="s">
        <v>52</v>
      </c>
      <c r="F54" s="43" t="s">
        <v>22</v>
      </c>
      <c r="G54" s="43" t="s">
        <v>28</v>
      </c>
      <c r="H54" s="43"/>
      <c r="I54" s="23">
        <v>67857.62</v>
      </c>
      <c r="J54" s="34">
        <v>42162.15</v>
      </c>
      <c r="K54" s="35">
        <f>I54-J54</f>
        <v>25695.469999999994</v>
      </c>
      <c r="L54" s="93"/>
      <c r="M54" s="188"/>
      <c r="N54" s="189"/>
      <c r="O54" s="25">
        <f t="shared" ref="O54:O55" si="28">I54-J54-K54</f>
        <v>0</v>
      </c>
      <c r="P54" s="26">
        <f t="shared" si="4"/>
        <v>62.133257841934345</v>
      </c>
      <c r="Q54" s="331"/>
      <c r="R54" s="33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15" customFormat="1" ht="18.75" x14ac:dyDescent="0.3">
      <c r="A55" s="99" t="s">
        <v>31</v>
      </c>
      <c r="B55" s="22" t="s">
        <v>9</v>
      </c>
      <c r="C55" s="43" t="s">
        <v>12</v>
      </c>
      <c r="D55" s="43" t="s">
        <v>14</v>
      </c>
      <c r="E55" s="43" t="s">
        <v>52</v>
      </c>
      <c r="F55" s="43" t="s">
        <v>22</v>
      </c>
      <c r="G55" s="101">
        <v>213</v>
      </c>
      <c r="H55" s="22"/>
      <c r="I55" s="23">
        <v>20493</v>
      </c>
      <c r="J55" s="34">
        <v>12128.97</v>
      </c>
      <c r="K55" s="35">
        <f>I55-J55</f>
        <v>8364.0300000000007</v>
      </c>
      <c r="L55" s="93"/>
      <c r="M55" s="188"/>
      <c r="N55" s="189"/>
      <c r="O55" s="25">
        <f t="shared" si="28"/>
        <v>0</v>
      </c>
      <c r="P55" s="26">
        <f t="shared" si="4"/>
        <v>59.185917142438882</v>
      </c>
      <c r="Q55" s="331"/>
      <c r="R55" s="331"/>
    </row>
    <row r="56" spans="1:50" s="15" customFormat="1" ht="102.75" hidden="1" customHeight="1" x14ac:dyDescent="0.25">
      <c r="A56" s="86" t="s">
        <v>141</v>
      </c>
      <c r="B56" s="16" t="s">
        <v>9</v>
      </c>
      <c r="C56" s="41" t="s">
        <v>12</v>
      </c>
      <c r="D56" s="41" t="s">
        <v>14</v>
      </c>
      <c r="E56" s="41" t="s">
        <v>132</v>
      </c>
      <c r="F56" s="41" t="s">
        <v>22</v>
      </c>
      <c r="G56" s="16"/>
      <c r="H56" s="16"/>
      <c r="I56" s="17">
        <f>I57+I58</f>
        <v>0</v>
      </c>
      <c r="J56" s="17">
        <f t="shared" ref="J56:K56" si="29">J57+J58</f>
        <v>0</v>
      </c>
      <c r="K56" s="17">
        <f t="shared" si="29"/>
        <v>0</v>
      </c>
      <c r="L56" s="42"/>
      <c r="M56" s="186"/>
      <c r="N56" s="187"/>
      <c r="O56" s="20">
        <f>I56-J56-K56</f>
        <v>0</v>
      </c>
      <c r="P56" s="21" t="e">
        <f t="shared" si="4"/>
        <v>#DIV/0!</v>
      </c>
      <c r="Q56" s="331"/>
      <c r="R56" s="331"/>
    </row>
    <row r="57" spans="1:50" s="15" customFormat="1" ht="18.75" hidden="1" x14ac:dyDescent="0.25">
      <c r="A57" s="175" t="s">
        <v>27</v>
      </c>
      <c r="B57" s="22" t="s">
        <v>9</v>
      </c>
      <c r="C57" s="43" t="s">
        <v>12</v>
      </c>
      <c r="D57" s="43" t="s">
        <v>14</v>
      </c>
      <c r="E57" s="43" t="s">
        <v>132</v>
      </c>
      <c r="F57" s="43" t="s">
        <v>22</v>
      </c>
      <c r="G57" s="43" t="s">
        <v>28</v>
      </c>
      <c r="H57" s="43"/>
      <c r="I57" s="121">
        <v>0</v>
      </c>
      <c r="J57" s="122">
        <v>0</v>
      </c>
      <c r="K57" s="35">
        <f>I57-J57</f>
        <v>0</v>
      </c>
      <c r="L57" s="93"/>
      <c r="M57" s="188"/>
      <c r="N57" s="189"/>
      <c r="O57" s="25">
        <f t="shared" ref="O57:O58" si="30">I57-J57-K57</f>
        <v>0</v>
      </c>
      <c r="P57" s="26" t="e">
        <f t="shared" si="4"/>
        <v>#DIV/0!</v>
      </c>
      <c r="Q57" s="331"/>
      <c r="R57" s="331"/>
    </row>
    <row r="58" spans="1:50" s="15" customFormat="1" ht="18.75" hidden="1" x14ac:dyDescent="0.3">
      <c r="A58" s="99" t="s">
        <v>31</v>
      </c>
      <c r="B58" s="22" t="s">
        <v>9</v>
      </c>
      <c r="C58" s="43" t="s">
        <v>12</v>
      </c>
      <c r="D58" s="43" t="s">
        <v>14</v>
      </c>
      <c r="E58" s="43" t="s">
        <v>132</v>
      </c>
      <c r="F58" s="43" t="s">
        <v>22</v>
      </c>
      <c r="G58" s="101">
        <v>213</v>
      </c>
      <c r="H58" s="22"/>
      <c r="I58" s="121">
        <v>0</v>
      </c>
      <c r="J58" s="122">
        <v>0</v>
      </c>
      <c r="K58" s="35">
        <f>I58-J58</f>
        <v>0</v>
      </c>
      <c r="L58" s="93"/>
      <c r="M58" s="188"/>
      <c r="N58" s="189"/>
      <c r="O58" s="25">
        <f t="shared" si="30"/>
        <v>0</v>
      </c>
      <c r="P58" s="26" t="e">
        <f t="shared" si="4"/>
        <v>#DIV/0!</v>
      </c>
      <c r="Q58" s="331"/>
      <c r="R58" s="331"/>
    </row>
    <row r="59" spans="1:50" s="2" customFormat="1" ht="65.25" hidden="1" customHeight="1" x14ac:dyDescent="0.25">
      <c r="A59" s="190" t="s">
        <v>88</v>
      </c>
      <c r="B59" s="41" t="s">
        <v>9</v>
      </c>
      <c r="C59" s="41" t="s">
        <v>12</v>
      </c>
      <c r="D59" s="41" t="s">
        <v>14</v>
      </c>
      <c r="E59" s="41" t="s">
        <v>53</v>
      </c>
      <c r="F59" s="41" t="s">
        <v>22</v>
      </c>
      <c r="G59" s="41"/>
      <c r="H59" s="41"/>
      <c r="I59" s="17">
        <f>I60</f>
        <v>0</v>
      </c>
      <c r="J59" s="17">
        <f>J60</f>
        <v>0</v>
      </c>
      <c r="K59" s="17">
        <f t="shared" ref="K59:N59" si="31">K60</f>
        <v>0</v>
      </c>
      <c r="L59" s="17" t="e">
        <f t="shared" si="31"/>
        <v>#REF!</v>
      </c>
      <c r="M59" s="17">
        <f t="shared" si="31"/>
        <v>0</v>
      </c>
      <c r="N59" s="17">
        <f t="shared" si="31"/>
        <v>0</v>
      </c>
      <c r="O59" s="20">
        <f>I59-J59-K59</f>
        <v>0</v>
      </c>
      <c r="P59" s="21" t="e">
        <f t="shared" si="4"/>
        <v>#DIV/0!</v>
      </c>
      <c r="Q59" s="331"/>
      <c r="R59" s="33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46" customFormat="1" ht="18.75" hidden="1" x14ac:dyDescent="0.25">
      <c r="A60" s="99" t="s">
        <v>113</v>
      </c>
      <c r="B60" s="22" t="s">
        <v>9</v>
      </c>
      <c r="C60" s="22" t="s">
        <v>12</v>
      </c>
      <c r="D60" s="22" t="s">
        <v>14</v>
      </c>
      <c r="E60" s="22" t="s">
        <v>53</v>
      </c>
      <c r="F60" s="22" t="s">
        <v>22</v>
      </c>
      <c r="G60" s="22" t="s">
        <v>114</v>
      </c>
      <c r="H60" s="22"/>
      <c r="I60" s="17">
        <v>0</v>
      </c>
      <c r="J60" s="55">
        <v>0</v>
      </c>
      <c r="K60" s="44">
        <f>I60-J60</f>
        <v>0</v>
      </c>
      <c r="L60" s="45" t="e">
        <f>#REF!</f>
        <v>#REF!</v>
      </c>
      <c r="M60" s="188"/>
      <c r="N60" s="189"/>
      <c r="O60" s="30">
        <f>I60-J60-K60</f>
        <v>0</v>
      </c>
      <c r="P60" s="31" t="e">
        <f t="shared" si="4"/>
        <v>#DIV/0!</v>
      </c>
      <c r="Q60" s="341"/>
      <c r="R60" s="34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2" customFormat="1" ht="103.5" customHeight="1" x14ac:dyDescent="0.25">
      <c r="A61" s="190" t="s">
        <v>140</v>
      </c>
      <c r="B61" s="41" t="s">
        <v>9</v>
      </c>
      <c r="C61" s="41" t="s">
        <v>12</v>
      </c>
      <c r="D61" s="41" t="s">
        <v>12</v>
      </c>
      <c r="E61" s="41" t="s">
        <v>133</v>
      </c>
      <c r="F61" s="41"/>
      <c r="G61" s="41"/>
      <c r="H61" s="41"/>
      <c r="I61" s="17">
        <f>I64+I65+I66+I67+I68+I62</f>
        <v>217600.53</v>
      </c>
      <c r="J61" s="17">
        <f>J64+J65+J66+J67+J68+J62</f>
        <v>217573</v>
      </c>
      <c r="K61" s="17">
        <f t="shared" ref="K61:O61" si="32">K64+K65+K66+K67+K68+K62</f>
        <v>0</v>
      </c>
      <c r="L61" s="17" t="e">
        <f t="shared" si="32"/>
        <v>#REF!</v>
      </c>
      <c r="M61" s="17" t="e">
        <f t="shared" si="32"/>
        <v>#REF!</v>
      </c>
      <c r="N61" s="17" t="e">
        <f t="shared" si="32"/>
        <v>#REF!</v>
      </c>
      <c r="O61" s="17">
        <f t="shared" si="32"/>
        <v>27.529999999998836</v>
      </c>
      <c r="P61" s="21">
        <f>J61/I61*100</f>
        <v>99.987348376403304</v>
      </c>
      <c r="Q61" s="321"/>
      <c r="R61" s="322"/>
      <c r="S61" s="1"/>
      <c r="T61" s="15"/>
      <c r="U61" s="15"/>
      <c r="V61" s="15"/>
      <c r="W61" s="15"/>
      <c r="X61" s="15"/>
      <c r="Y61" s="1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1.75" customHeight="1" x14ac:dyDescent="0.25">
      <c r="A62" s="179" t="s">
        <v>33</v>
      </c>
      <c r="B62" s="27" t="s">
        <v>9</v>
      </c>
      <c r="C62" s="27" t="s">
        <v>12</v>
      </c>
      <c r="D62" s="27" t="s">
        <v>12</v>
      </c>
      <c r="E62" s="27" t="s">
        <v>134</v>
      </c>
      <c r="F62" s="27" t="s">
        <v>22</v>
      </c>
      <c r="G62" s="27" t="s">
        <v>34</v>
      </c>
      <c r="H62" s="22"/>
      <c r="I62" s="33">
        <f>I63</f>
        <v>26581.53</v>
      </c>
      <c r="J62" s="44">
        <f>J63</f>
        <v>26554</v>
      </c>
      <c r="K62" s="33">
        <v>0</v>
      </c>
      <c r="L62" s="92"/>
      <c r="M62" s="184"/>
      <c r="N62" s="185"/>
      <c r="O62" s="30">
        <f t="shared" ref="O62:O66" si="33">I62-J62-K62</f>
        <v>27.529999999998836</v>
      </c>
      <c r="P62" s="31">
        <f t="shared" ref="P62:P68" si="34">J62/I62*100</f>
        <v>99.896431845721452</v>
      </c>
      <c r="Q62" s="325"/>
      <c r="R62" s="326"/>
    </row>
    <row r="63" spans="1:50" ht="24" customHeight="1" x14ac:dyDescent="0.25">
      <c r="A63" s="99" t="s">
        <v>43</v>
      </c>
      <c r="B63" s="22" t="s">
        <v>9</v>
      </c>
      <c r="C63" s="22" t="s">
        <v>12</v>
      </c>
      <c r="D63" s="22" t="s">
        <v>12</v>
      </c>
      <c r="E63" s="22" t="s">
        <v>134</v>
      </c>
      <c r="F63" s="22" t="s">
        <v>22</v>
      </c>
      <c r="G63" s="22" t="s">
        <v>44</v>
      </c>
      <c r="H63" s="22"/>
      <c r="I63" s="23">
        <v>26581.53</v>
      </c>
      <c r="J63" s="23">
        <v>26554</v>
      </c>
      <c r="K63" s="23">
        <v>0</v>
      </c>
      <c r="L63" s="24"/>
      <c r="M63" s="182"/>
      <c r="N63" s="183"/>
      <c r="O63" s="25">
        <f t="shared" si="33"/>
        <v>27.529999999998836</v>
      </c>
      <c r="P63" s="26">
        <f t="shared" si="34"/>
        <v>99.896431845721452</v>
      </c>
      <c r="Q63" s="325"/>
      <c r="R63" s="326"/>
    </row>
    <row r="64" spans="1:50" s="2" customFormat="1" ht="18.75" x14ac:dyDescent="0.25">
      <c r="A64" s="191" t="s">
        <v>43</v>
      </c>
      <c r="B64" s="22" t="s">
        <v>9</v>
      </c>
      <c r="C64" s="22" t="s">
        <v>12</v>
      </c>
      <c r="D64" s="22" t="s">
        <v>12</v>
      </c>
      <c r="E64" s="22" t="s">
        <v>134</v>
      </c>
      <c r="F64" s="22" t="s">
        <v>22</v>
      </c>
      <c r="G64" s="22" t="s">
        <v>44</v>
      </c>
      <c r="H64" s="22"/>
      <c r="I64" s="23">
        <v>172367.78</v>
      </c>
      <c r="J64" s="23">
        <v>172367.78</v>
      </c>
      <c r="K64" s="34">
        <f>I64-J64</f>
        <v>0</v>
      </c>
      <c r="L64" s="34" t="e">
        <f>#REF!</f>
        <v>#REF!</v>
      </c>
      <c r="M64" s="34" t="e">
        <f>#REF!</f>
        <v>#REF!</v>
      </c>
      <c r="N64" s="34" t="e">
        <f>#REF!</f>
        <v>#REF!</v>
      </c>
      <c r="O64" s="25">
        <f t="shared" si="33"/>
        <v>0</v>
      </c>
      <c r="P64" s="26">
        <f t="shared" si="34"/>
        <v>100</v>
      </c>
      <c r="Q64" s="325"/>
      <c r="R64" s="326"/>
      <c r="S64" s="1"/>
      <c r="T64" s="15"/>
      <c r="U64" s="15"/>
      <c r="V64" s="15"/>
      <c r="W64" s="15"/>
      <c r="X64" s="15"/>
      <c r="Y64" s="15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2" customFormat="1" ht="37.5" x14ac:dyDescent="0.25">
      <c r="A65" s="175" t="s">
        <v>106</v>
      </c>
      <c r="B65" s="22" t="s">
        <v>9</v>
      </c>
      <c r="C65" s="22" t="s">
        <v>12</v>
      </c>
      <c r="D65" s="22" t="s">
        <v>14</v>
      </c>
      <c r="E65" s="22" t="s">
        <v>134</v>
      </c>
      <c r="F65" s="22" t="s">
        <v>22</v>
      </c>
      <c r="G65" s="22" t="s">
        <v>101</v>
      </c>
      <c r="H65" s="22"/>
      <c r="I65" s="23">
        <v>3986.5</v>
      </c>
      <c r="J65" s="23">
        <v>3986.5</v>
      </c>
      <c r="K65" s="34">
        <f t="shared" ref="K65:K68" si="35">I65-J65</f>
        <v>0</v>
      </c>
      <c r="L65" s="38">
        <v>107900</v>
      </c>
      <c r="M65" s="182"/>
      <c r="N65" s="183"/>
      <c r="O65" s="25">
        <f t="shared" si="33"/>
        <v>0</v>
      </c>
      <c r="P65" s="26">
        <f t="shared" si="34"/>
        <v>100</v>
      </c>
      <c r="Q65" s="325"/>
      <c r="R65" s="32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x14ac:dyDescent="0.25">
      <c r="A66" s="99" t="s">
        <v>113</v>
      </c>
      <c r="B66" s="22" t="s">
        <v>9</v>
      </c>
      <c r="C66" s="22" t="s">
        <v>12</v>
      </c>
      <c r="D66" s="22" t="s">
        <v>12</v>
      </c>
      <c r="E66" s="22" t="s">
        <v>134</v>
      </c>
      <c r="F66" s="22" t="s">
        <v>22</v>
      </c>
      <c r="G66" s="22" t="s">
        <v>114</v>
      </c>
      <c r="H66" s="22"/>
      <c r="I66" s="23">
        <v>0</v>
      </c>
      <c r="J66" s="23">
        <v>0</v>
      </c>
      <c r="K66" s="34">
        <f t="shared" si="35"/>
        <v>0</v>
      </c>
      <c r="L66" s="45"/>
      <c r="M66" s="188"/>
      <c r="N66" s="189"/>
      <c r="O66" s="25">
        <f t="shared" si="33"/>
        <v>0</v>
      </c>
      <c r="P66" s="26" t="e">
        <f t="shared" si="34"/>
        <v>#DIV/0!</v>
      </c>
      <c r="Q66" s="325"/>
      <c r="R66" s="326"/>
    </row>
    <row r="67" spans="1:50" s="15" customFormat="1" ht="37.5" x14ac:dyDescent="0.25">
      <c r="A67" s="175" t="s">
        <v>109</v>
      </c>
      <c r="B67" s="22" t="s">
        <v>9</v>
      </c>
      <c r="C67" s="22" t="s">
        <v>12</v>
      </c>
      <c r="D67" s="22" t="s">
        <v>12</v>
      </c>
      <c r="E67" s="22" t="s">
        <v>134</v>
      </c>
      <c r="F67" s="22" t="s">
        <v>22</v>
      </c>
      <c r="G67" s="22" t="s">
        <v>104</v>
      </c>
      <c r="H67" s="22"/>
      <c r="I67" s="23">
        <v>14664.72</v>
      </c>
      <c r="J67" s="23">
        <v>14664.72</v>
      </c>
      <c r="K67" s="34">
        <f t="shared" si="35"/>
        <v>0</v>
      </c>
      <c r="L67" s="38">
        <v>1178466</v>
      </c>
      <c r="M67" s="182">
        <f>J67-L67</f>
        <v>-1163801.28</v>
      </c>
      <c r="N67" s="183"/>
      <c r="O67" s="25">
        <f>I67-J67-K67</f>
        <v>0</v>
      </c>
      <c r="P67" s="26">
        <v>0</v>
      </c>
      <c r="Q67" s="325"/>
      <c r="R67" s="326"/>
    </row>
    <row r="68" spans="1:50" ht="37.5" x14ac:dyDescent="0.25">
      <c r="A68" s="175" t="s">
        <v>110</v>
      </c>
      <c r="B68" s="22" t="s">
        <v>9</v>
      </c>
      <c r="C68" s="22" t="s">
        <v>12</v>
      </c>
      <c r="D68" s="22" t="s">
        <v>12</v>
      </c>
      <c r="E68" s="22" t="s">
        <v>134</v>
      </c>
      <c r="F68" s="22" t="s">
        <v>22</v>
      </c>
      <c r="G68" s="22" t="s">
        <v>105</v>
      </c>
      <c r="H68" s="22"/>
      <c r="I68" s="23">
        <v>0</v>
      </c>
      <c r="J68" s="23">
        <v>0</v>
      </c>
      <c r="K68" s="34">
        <f t="shared" si="35"/>
        <v>0</v>
      </c>
      <c r="L68" s="45" t="e">
        <f>L107</f>
        <v>#REF!</v>
      </c>
      <c r="M68" s="192"/>
      <c r="N68" s="193"/>
      <c r="O68" s="25">
        <f>I68-J68-K68</f>
        <v>0</v>
      </c>
      <c r="P68" s="26" t="e">
        <f t="shared" si="34"/>
        <v>#DIV/0!</v>
      </c>
      <c r="Q68" s="325"/>
      <c r="R68" s="326"/>
    </row>
    <row r="69" spans="1:50" ht="121.5" customHeight="1" x14ac:dyDescent="0.25">
      <c r="A69" s="190" t="s">
        <v>64</v>
      </c>
      <c r="B69" s="41" t="s">
        <v>9</v>
      </c>
      <c r="C69" s="41" t="s">
        <v>12</v>
      </c>
      <c r="D69" s="41" t="s">
        <v>12</v>
      </c>
      <c r="E69" s="41" t="s">
        <v>65</v>
      </c>
      <c r="F69" s="41"/>
      <c r="G69" s="41"/>
      <c r="H69" s="41"/>
      <c r="I69" s="17">
        <f>I71+I70</f>
        <v>20161.89</v>
      </c>
      <c r="J69" s="17">
        <f>J71+J70</f>
        <v>20161</v>
      </c>
      <c r="K69" s="17">
        <f>K71</f>
        <v>0</v>
      </c>
      <c r="L69" s="42"/>
      <c r="M69" s="186"/>
      <c r="N69" s="187"/>
      <c r="O69" s="20">
        <f>I69-J69-K69</f>
        <v>0.88999999999941792</v>
      </c>
      <c r="P69" s="21">
        <f>J69/I69*100</f>
        <v>99.995585731298007</v>
      </c>
      <c r="Q69" s="325"/>
      <c r="R69" s="326"/>
    </row>
    <row r="70" spans="1:50" ht="40.5" customHeight="1" x14ac:dyDescent="0.25">
      <c r="A70" s="175" t="s">
        <v>43</v>
      </c>
      <c r="B70" s="22" t="s">
        <v>9</v>
      </c>
      <c r="C70" s="22" t="s">
        <v>12</v>
      </c>
      <c r="D70" s="22" t="s">
        <v>12</v>
      </c>
      <c r="E70" s="22" t="s">
        <v>66</v>
      </c>
      <c r="F70" s="22" t="s">
        <v>22</v>
      </c>
      <c r="G70" s="22" t="s">
        <v>44</v>
      </c>
      <c r="H70" s="22"/>
      <c r="I70" s="23">
        <v>11368.42</v>
      </c>
      <c r="J70" s="23">
        <v>11368.42</v>
      </c>
      <c r="K70" s="34">
        <f t="shared" ref="K70" si="36">I70-J70</f>
        <v>0</v>
      </c>
      <c r="L70" s="34" t="e">
        <f>#REF!</f>
        <v>#REF!</v>
      </c>
      <c r="M70" s="34" t="e">
        <f>#REF!</f>
        <v>#REF!</v>
      </c>
      <c r="N70" s="34" t="e">
        <f>#REF!</f>
        <v>#REF!</v>
      </c>
      <c r="O70" s="25">
        <f t="shared" ref="O70" si="37">I70-J70-K70</f>
        <v>0</v>
      </c>
      <c r="P70" s="26">
        <f t="shared" ref="P70" si="38">J70/I70*100</f>
        <v>100</v>
      </c>
      <c r="Q70" s="325"/>
      <c r="R70" s="326"/>
    </row>
    <row r="71" spans="1:50" ht="40.5" customHeight="1" x14ac:dyDescent="0.25">
      <c r="A71" s="175" t="s">
        <v>109</v>
      </c>
      <c r="B71" s="22" t="s">
        <v>9</v>
      </c>
      <c r="C71" s="22" t="s">
        <v>12</v>
      </c>
      <c r="D71" s="22" t="s">
        <v>12</v>
      </c>
      <c r="E71" s="22" t="s">
        <v>66</v>
      </c>
      <c r="F71" s="22" t="s">
        <v>22</v>
      </c>
      <c r="G71" s="22" t="s">
        <v>104</v>
      </c>
      <c r="H71" s="22"/>
      <c r="I71" s="23">
        <v>8793.4699999999993</v>
      </c>
      <c r="J71" s="23">
        <v>8792.58</v>
      </c>
      <c r="K71" s="34">
        <v>0</v>
      </c>
      <c r="L71" s="34" t="e">
        <f>#REF!</f>
        <v>#REF!</v>
      </c>
      <c r="M71" s="34" t="e">
        <f>#REF!</f>
        <v>#REF!</v>
      </c>
      <c r="N71" s="34" t="e">
        <f>#REF!</f>
        <v>#REF!</v>
      </c>
      <c r="O71" s="25">
        <f t="shared" ref="O71" si="39">I71-J71-K71</f>
        <v>0.88999999999941792</v>
      </c>
      <c r="P71" s="26">
        <f t="shared" ref="P71" si="40">J71/I71*100</f>
        <v>99.989878853285447</v>
      </c>
      <c r="Q71" s="325"/>
      <c r="R71" s="326"/>
    </row>
    <row r="72" spans="1:50" ht="25.5" customHeight="1" x14ac:dyDescent="0.25">
      <c r="A72" s="190" t="s">
        <v>194</v>
      </c>
      <c r="B72" s="41" t="s">
        <v>9</v>
      </c>
      <c r="C72" s="41" t="s">
        <v>12</v>
      </c>
      <c r="D72" s="41" t="s">
        <v>14</v>
      </c>
      <c r="E72" s="41" t="s">
        <v>198</v>
      </c>
      <c r="F72" s="16"/>
      <c r="G72" s="41"/>
      <c r="H72" s="41"/>
      <c r="I72" s="17">
        <f>I73</f>
        <v>65789.47</v>
      </c>
      <c r="J72" s="17">
        <f>J73</f>
        <v>62500</v>
      </c>
      <c r="K72" s="17">
        <f>K73</f>
        <v>3289.4700000000012</v>
      </c>
      <c r="L72" s="42"/>
      <c r="M72" s="186"/>
      <c r="N72" s="187"/>
      <c r="O72" s="20">
        <f>I72-J72-K72</f>
        <v>0</v>
      </c>
      <c r="P72" s="21">
        <f>J72/I72*100</f>
        <v>95.000005320000298</v>
      </c>
      <c r="Q72" s="258"/>
      <c r="R72" s="259"/>
    </row>
    <row r="73" spans="1:50" ht="40.5" customHeight="1" x14ac:dyDescent="0.25">
      <c r="A73" s="175" t="s">
        <v>109</v>
      </c>
      <c r="B73" s="22" t="s">
        <v>9</v>
      </c>
      <c r="C73" s="22" t="s">
        <v>12</v>
      </c>
      <c r="D73" s="22" t="s">
        <v>14</v>
      </c>
      <c r="E73" s="22" t="s">
        <v>198</v>
      </c>
      <c r="F73" s="22" t="s">
        <v>22</v>
      </c>
      <c r="G73" s="22" t="s">
        <v>48</v>
      </c>
      <c r="H73" s="22"/>
      <c r="I73" s="23">
        <v>65789.47</v>
      </c>
      <c r="J73" s="23">
        <v>62500</v>
      </c>
      <c r="K73" s="23">
        <f>I73-J73</f>
        <v>3289.4700000000012</v>
      </c>
      <c r="L73" s="34" t="e">
        <f>#REF!</f>
        <v>#REF!</v>
      </c>
      <c r="M73" s="34" t="e">
        <f>#REF!</f>
        <v>#REF!</v>
      </c>
      <c r="N73" s="34" t="e">
        <f>#REF!</f>
        <v>#REF!</v>
      </c>
      <c r="O73" s="25">
        <f t="shared" ref="O73" si="41">I73-J73-K73</f>
        <v>0</v>
      </c>
      <c r="P73" s="26">
        <f t="shared" ref="P73" si="42">J73/I73*100</f>
        <v>95.000005320000298</v>
      </c>
      <c r="Q73" s="258"/>
      <c r="R73" s="259"/>
    </row>
    <row r="74" spans="1:50" s="2" customFormat="1" ht="20.25" customHeight="1" x14ac:dyDescent="0.3">
      <c r="A74" s="333" t="s">
        <v>54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5"/>
      <c r="Q74" s="340"/>
      <c r="R74" s="340"/>
    </row>
    <row r="75" spans="1:50" ht="19.5" x14ac:dyDescent="0.25">
      <c r="A75" s="173" t="s">
        <v>11</v>
      </c>
      <c r="B75" s="8" t="s">
        <v>9</v>
      </c>
      <c r="C75" s="8" t="s">
        <v>12</v>
      </c>
      <c r="D75" s="8"/>
      <c r="E75" s="8"/>
      <c r="F75" s="8"/>
      <c r="G75" s="8"/>
      <c r="H75" s="8"/>
      <c r="I75" s="9">
        <f t="shared" ref="I75:N75" si="43">I76+I107</f>
        <v>77734610</v>
      </c>
      <c r="J75" s="9">
        <f t="shared" si="43"/>
        <v>52353879.880000003</v>
      </c>
      <c r="K75" s="9">
        <f t="shared" si="43"/>
        <v>25380730.119999994</v>
      </c>
      <c r="L75" s="9" t="e">
        <f t="shared" si="43"/>
        <v>#REF!</v>
      </c>
      <c r="M75" s="9" t="e">
        <f t="shared" si="43"/>
        <v>#REF!</v>
      </c>
      <c r="N75" s="9" t="e">
        <f t="shared" si="43"/>
        <v>#REF!</v>
      </c>
      <c r="O75" s="11">
        <f>I75-J75-K75</f>
        <v>0</v>
      </c>
      <c r="P75" s="12">
        <f>J75/I75*100</f>
        <v>67.349511215145995</v>
      </c>
      <c r="Q75" s="331"/>
      <c r="R75" s="331"/>
    </row>
    <row r="76" spans="1:50" s="15" customFormat="1" ht="19.5" x14ac:dyDescent="0.25">
      <c r="A76" s="174" t="s">
        <v>13</v>
      </c>
      <c r="B76" s="13" t="s">
        <v>9</v>
      </c>
      <c r="C76" s="13" t="s">
        <v>12</v>
      </c>
      <c r="D76" s="13" t="s">
        <v>14</v>
      </c>
      <c r="E76" s="13"/>
      <c r="F76" s="13"/>
      <c r="G76" s="13"/>
      <c r="H76" s="13"/>
      <c r="I76" s="157">
        <f>I77+I95+I98+I104+I101</f>
        <v>77351534</v>
      </c>
      <c r="J76" s="157">
        <f>J77+J95+J98+J104+J101</f>
        <v>51970803.880000003</v>
      </c>
      <c r="K76" s="14">
        <f>K77+K95+K98+K104+K101</f>
        <v>25380730.119999994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7">
        <f t="shared" ref="I76:O79" si="44">O77</f>
        <v>0</v>
      </c>
      <c r="P76" s="48">
        <f>J76/I76*100</f>
        <v>67.187812823466444</v>
      </c>
      <c r="Q76" s="331"/>
      <c r="R76" s="331"/>
    </row>
    <row r="77" spans="1:50" s="19" customFormat="1" ht="37.5" x14ac:dyDescent="0.25">
      <c r="A77" s="40" t="s">
        <v>15</v>
      </c>
      <c r="B77" s="41" t="s">
        <v>9</v>
      </c>
      <c r="C77" s="41" t="s">
        <v>12</v>
      </c>
      <c r="D77" s="41" t="s">
        <v>14</v>
      </c>
      <c r="E77" s="41" t="s">
        <v>55</v>
      </c>
      <c r="F77" s="41"/>
      <c r="G77" s="41"/>
      <c r="H77" s="41"/>
      <c r="I77" s="17">
        <f>I78</f>
        <v>73536924.890000001</v>
      </c>
      <c r="J77" s="17">
        <f>J78</f>
        <v>49976899.390000001</v>
      </c>
      <c r="K77" s="17">
        <f t="shared" si="44"/>
        <v>23560025.499999996</v>
      </c>
      <c r="L77" s="17">
        <f t="shared" si="44"/>
        <v>0</v>
      </c>
      <c r="M77" s="17">
        <f t="shared" si="44"/>
        <v>0</v>
      </c>
      <c r="N77" s="17">
        <f t="shared" si="44"/>
        <v>0</v>
      </c>
      <c r="O77" s="17">
        <f t="shared" si="44"/>
        <v>0</v>
      </c>
      <c r="P77" s="21">
        <f t="shared" ref="P77:P106" si="45">J77/I77*100</f>
        <v>67.961638951802513</v>
      </c>
      <c r="Q77" s="346"/>
      <c r="R77" s="346"/>
    </row>
    <row r="78" spans="1:50" s="15" customFormat="1" ht="56.25" x14ac:dyDescent="0.25">
      <c r="A78" s="194" t="s">
        <v>17</v>
      </c>
      <c r="B78" s="27" t="s">
        <v>9</v>
      </c>
      <c r="C78" s="27" t="s">
        <v>12</v>
      </c>
      <c r="D78" s="27" t="s">
        <v>14</v>
      </c>
      <c r="E78" s="27" t="s">
        <v>55</v>
      </c>
      <c r="F78" s="27"/>
      <c r="G78" s="27"/>
      <c r="H78" s="27"/>
      <c r="I78" s="28">
        <f t="shared" si="44"/>
        <v>73536924.890000001</v>
      </c>
      <c r="J78" s="156">
        <f>J79</f>
        <v>49976899.390000001</v>
      </c>
      <c r="K78" s="44">
        <f t="shared" si="44"/>
        <v>23560025.499999996</v>
      </c>
      <c r="L78" s="24"/>
      <c r="M78" s="184"/>
      <c r="N78" s="185"/>
      <c r="O78" s="30">
        <f t="shared" ref="O78:O109" si="46">I78-J78-K78</f>
        <v>0</v>
      </c>
      <c r="P78" s="31">
        <f t="shared" si="45"/>
        <v>67.961638951802513</v>
      </c>
      <c r="Q78" s="331"/>
      <c r="R78" s="331"/>
      <c r="S78" s="1"/>
      <c r="T78" s="1"/>
      <c r="U78" s="1"/>
      <c r="V78" s="1"/>
      <c r="W78" s="1"/>
      <c r="X78" s="1"/>
      <c r="Y78" s="1"/>
    </row>
    <row r="79" spans="1:50" s="15" customFormat="1" ht="18.75" x14ac:dyDescent="0.25">
      <c r="A79" s="99" t="s">
        <v>19</v>
      </c>
      <c r="B79" s="22" t="s">
        <v>9</v>
      </c>
      <c r="C79" s="22" t="s">
        <v>12</v>
      </c>
      <c r="D79" s="22" t="s">
        <v>14</v>
      </c>
      <c r="E79" s="22" t="s">
        <v>55</v>
      </c>
      <c r="F79" s="22" t="s">
        <v>20</v>
      </c>
      <c r="G79" s="22"/>
      <c r="H79" s="22"/>
      <c r="I79" s="28">
        <f t="shared" si="44"/>
        <v>73536924.890000001</v>
      </c>
      <c r="J79" s="156">
        <f t="shared" si="44"/>
        <v>49976899.390000001</v>
      </c>
      <c r="K79" s="44">
        <f t="shared" si="44"/>
        <v>23560025.499999996</v>
      </c>
      <c r="L79" s="38"/>
      <c r="M79" s="184"/>
      <c r="N79" s="185"/>
      <c r="O79" s="30">
        <f t="shared" si="46"/>
        <v>0</v>
      </c>
      <c r="P79" s="31">
        <f t="shared" si="45"/>
        <v>67.961638951802513</v>
      </c>
      <c r="Q79" s="331"/>
      <c r="R79" s="331"/>
      <c r="S79" s="1"/>
      <c r="T79" s="1"/>
      <c r="U79" s="1"/>
      <c r="V79" s="1"/>
      <c r="W79" s="1"/>
      <c r="X79" s="1"/>
      <c r="Y79" s="1"/>
    </row>
    <row r="80" spans="1:50" s="2" customFormat="1" ht="56.25" x14ac:dyDescent="0.25">
      <c r="A80" s="99" t="s">
        <v>21</v>
      </c>
      <c r="B80" s="22" t="s">
        <v>9</v>
      </c>
      <c r="C80" s="22" t="s">
        <v>12</v>
      </c>
      <c r="D80" s="22" t="s">
        <v>14</v>
      </c>
      <c r="E80" s="22" t="s">
        <v>55</v>
      </c>
      <c r="F80" s="22" t="s">
        <v>22</v>
      </c>
      <c r="G80" s="22"/>
      <c r="H80" s="22"/>
      <c r="I80" s="28">
        <f t="shared" ref="I80:N80" si="47">I81+I91</f>
        <v>73536924.890000001</v>
      </c>
      <c r="J80" s="28">
        <f t="shared" si="47"/>
        <v>49976899.390000001</v>
      </c>
      <c r="K80" s="33">
        <f t="shared" si="47"/>
        <v>23560025.499999996</v>
      </c>
      <c r="L80" s="33" t="e">
        <f t="shared" si="47"/>
        <v>#REF!</v>
      </c>
      <c r="M80" s="33" t="e">
        <f t="shared" si="47"/>
        <v>#REF!</v>
      </c>
      <c r="N80" s="33" t="e">
        <f t="shared" si="47"/>
        <v>#REF!</v>
      </c>
      <c r="O80" s="30">
        <f t="shared" si="46"/>
        <v>0</v>
      </c>
      <c r="P80" s="31">
        <f t="shared" si="45"/>
        <v>67.961638951802513</v>
      </c>
      <c r="Q80" s="331"/>
      <c r="R80" s="33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8.75" x14ac:dyDescent="0.25">
      <c r="A81" s="99" t="s">
        <v>23</v>
      </c>
      <c r="B81" s="22" t="s">
        <v>9</v>
      </c>
      <c r="C81" s="22" t="s">
        <v>12</v>
      </c>
      <c r="D81" s="22" t="s">
        <v>14</v>
      </c>
      <c r="E81" s="22" t="s">
        <v>55</v>
      </c>
      <c r="F81" s="22" t="s">
        <v>22</v>
      </c>
      <c r="G81" s="22" t="s">
        <v>24</v>
      </c>
      <c r="H81" s="22"/>
      <c r="I81" s="28">
        <f>I82+I89+I88+I86</f>
        <v>70313524.890000001</v>
      </c>
      <c r="J81" s="28">
        <f>J82+J89+J88+J86</f>
        <v>47637529.530000001</v>
      </c>
      <c r="K81" s="33">
        <f>K82+K89+K88+K86</f>
        <v>22675995.359999996</v>
      </c>
      <c r="L81" s="33" t="e">
        <f>L82+L89+#REF!</f>
        <v>#REF!</v>
      </c>
      <c r="M81" s="33" t="e">
        <f>M82+M89+#REF!</f>
        <v>#REF!</v>
      </c>
      <c r="N81" s="33" t="e">
        <f>N82+N89+#REF!</f>
        <v>#REF!</v>
      </c>
      <c r="O81" s="30">
        <f t="shared" si="46"/>
        <v>0</v>
      </c>
      <c r="P81" s="31">
        <f t="shared" si="45"/>
        <v>67.750165568466642</v>
      </c>
      <c r="Q81" s="331"/>
      <c r="R81" s="331"/>
    </row>
    <row r="82" spans="1:50" ht="18.75" x14ac:dyDescent="0.25">
      <c r="A82" s="99" t="s">
        <v>25</v>
      </c>
      <c r="B82" s="22" t="s">
        <v>9</v>
      </c>
      <c r="C82" s="22" t="s">
        <v>12</v>
      </c>
      <c r="D82" s="22" t="s">
        <v>14</v>
      </c>
      <c r="E82" s="22" t="s">
        <v>55</v>
      </c>
      <c r="F82" s="22" t="s">
        <v>22</v>
      </c>
      <c r="G82" s="22" t="s">
        <v>26</v>
      </c>
      <c r="H82" s="22"/>
      <c r="I82" s="28">
        <f>I83+I84+I85</f>
        <v>69377524.890000001</v>
      </c>
      <c r="J82" s="28">
        <f t="shared" ref="J82:K82" si="48">J83+J84+J85</f>
        <v>46926479.870000005</v>
      </c>
      <c r="K82" s="33">
        <f t="shared" si="48"/>
        <v>22451045.019999996</v>
      </c>
      <c r="L82" s="33" t="e">
        <f>L83+#REF!+L84</f>
        <v>#REF!</v>
      </c>
      <c r="M82" s="33" t="e">
        <f>M83+#REF!+M84</f>
        <v>#REF!</v>
      </c>
      <c r="N82" s="33" t="e">
        <f>N83+#REF!+N84</f>
        <v>#REF!</v>
      </c>
      <c r="O82" s="30">
        <f t="shared" si="46"/>
        <v>0</v>
      </c>
      <c r="P82" s="31">
        <f t="shared" si="45"/>
        <v>67.639311065655988</v>
      </c>
      <c r="Q82" s="331"/>
      <c r="R82" s="331"/>
    </row>
    <row r="83" spans="1:50" ht="18.75" x14ac:dyDescent="0.25">
      <c r="A83" s="99" t="s">
        <v>27</v>
      </c>
      <c r="B83" s="22" t="s">
        <v>9</v>
      </c>
      <c r="C83" s="22" t="s">
        <v>12</v>
      </c>
      <c r="D83" s="22" t="s">
        <v>14</v>
      </c>
      <c r="E83" s="22" t="s">
        <v>55</v>
      </c>
      <c r="F83" s="22" t="s">
        <v>22</v>
      </c>
      <c r="G83" s="22" t="s">
        <v>28</v>
      </c>
      <c r="H83" s="22"/>
      <c r="I83" s="23">
        <v>53227407.75</v>
      </c>
      <c r="J83" s="23">
        <v>36358804.590000004</v>
      </c>
      <c r="K83" s="23">
        <f>I83-J83</f>
        <v>16868603.159999996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5">
        <f t="shared" si="46"/>
        <v>0</v>
      </c>
      <c r="P83" s="26">
        <f t="shared" si="45"/>
        <v>68.308426291904098</v>
      </c>
      <c r="Q83" s="331"/>
      <c r="R83" s="331"/>
    </row>
    <row r="84" spans="1:50" ht="18.75" x14ac:dyDescent="0.25">
      <c r="A84" s="175" t="s">
        <v>29</v>
      </c>
      <c r="B84" s="22" t="s">
        <v>9</v>
      </c>
      <c r="C84" s="22" t="s">
        <v>12</v>
      </c>
      <c r="D84" s="22" t="s">
        <v>14</v>
      </c>
      <c r="E84" s="22" t="s">
        <v>55</v>
      </c>
      <c r="F84" s="22" t="s">
        <v>22</v>
      </c>
      <c r="G84" s="22" t="s">
        <v>30</v>
      </c>
      <c r="H84" s="22"/>
      <c r="I84" s="23">
        <v>9000</v>
      </c>
      <c r="J84" s="23">
        <v>2200</v>
      </c>
      <c r="K84" s="23">
        <f t="shared" ref="K84" si="49">I84-J84</f>
        <v>6800</v>
      </c>
      <c r="L84" s="23" t="e">
        <f>#REF!+#REF!</f>
        <v>#REF!</v>
      </c>
      <c r="M84" s="23" t="e">
        <f>#REF!+#REF!</f>
        <v>#REF!</v>
      </c>
      <c r="N84" s="23" t="e">
        <f>#REF!+#REF!</f>
        <v>#REF!</v>
      </c>
      <c r="O84" s="25">
        <f t="shared" si="46"/>
        <v>0</v>
      </c>
      <c r="P84" s="26">
        <f t="shared" si="45"/>
        <v>24.444444444444443</v>
      </c>
      <c r="Q84" s="331"/>
      <c r="R84" s="331"/>
    </row>
    <row r="85" spans="1:50" ht="21.75" customHeight="1" x14ac:dyDescent="0.25">
      <c r="A85" s="175" t="s">
        <v>31</v>
      </c>
      <c r="B85" s="22" t="s">
        <v>9</v>
      </c>
      <c r="C85" s="22" t="s">
        <v>12</v>
      </c>
      <c r="D85" s="22" t="s">
        <v>14</v>
      </c>
      <c r="E85" s="22" t="s">
        <v>55</v>
      </c>
      <c r="F85" s="22" t="s">
        <v>22</v>
      </c>
      <c r="G85" s="22" t="s">
        <v>32</v>
      </c>
      <c r="H85" s="22"/>
      <c r="I85" s="23">
        <v>16141117.140000001</v>
      </c>
      <c r="J85" s="34">
        <v>10565475.279999999</v>
      </c>
      <c r="K85" s="23">
        <f>I85-J85</f>
        <v>5575641.8600000013</v>
      </c>
      <c r="L85" s="24" t="e">
        <f>#REF!</f>
        <v>#REF!</v>
      </c>
      <c r="M85" s="182"/>
      <c r="N85" s="183"/>
      <c r="O85" s="25">
        <f t="shared" si="46"/>
        <v>0</v>
      </c>
      <c r="P85" s="26">
        <f t="shared" si="45"/>
        <v>65.456902321941755</v>
      </c>
      <c r="Q85" s="343"/>
      <c r="R85" s="343"/>
    </row>
    <row r="86" spans="1:50" ht="21.75" customHeight="1" x14ac:dyDescent="0.25">
      <c r="A86" s="179" t="s">
        <v>33</v>
      </c>
      <c r="B86" s="27" t="s">
        <v>9</v>
      </c>
      <c r="C86" s="27" t="s">
        <v>12</v>
      </c>
      <c r="D86" s="27" t="s">
        <v>14</v>
      </c>
      <c r="E86" s="27" t="s">
        <v>55</v>
      </c>
      <c r="F86" s="27" t="s">
        <v>22</v>
      </c>
      <c r="G86" s="27" t="s">
        <v>34</v>
      </c>
      <c r="H86" s="22"/>
      <c r="I86" s="33">
        <f>I87</f>
        <v>186000</v>
      </c>
      <c r="J86" s="44">
        <f>J87</f>
        <v>90224.4</v>
      </c>
      <c r="K86" s="33">
        <f t="shared" ref="K86:K87" si="50">I86-J86</f>
        <v>95775.6</v>
      </c>
      <c r="L86" s="92"/>
      <c r="M86" s="184"/>
      <c r="N86" s="185"/>
      <c r="O86" s="30">
        <f t="shared" si="46"/>
        <v>0</v>
      </c>
      <c r="P86" s="31">
        <f t="shared" si="45"/>
        <v>48.507741935483864</v>
      </c>
      <c r="Q86" s="344"/>
      <c r="R86" s="345"/>
    </row>
    <row r="87" spans="1:50" ht="24" customHeight="1" x14ac:dyDescent="0.25">
      <c r="A87" s="99" t="s">
        <v>43</v>
      </c>
      <c r="B87" s="22" t="s">
        <v>9</v>
      </c>
      <c r="C87" s="22" t="s">
        <v>12</v>
      </c>
      <c r="D87" s="22" t="s">
        <v>14</v>
      </c>
      <c r="E87" s="22" t="s">
        <v>55</v>
      </c>
      <c r="F87" s="22" t="s">
        <v>22</v>
      </c>
      <c r="G87" s="22" t="s">
        <v>44</v>
      </c>
      <c r="H87" s="22"/>
      <c r="I87" s="23">
        <v>186000</v>
      </c>
      <c r="J87" s="34">
        <v>90224.4</v>
      </c>
      <c r="K87" s="23">
        <f t="shared" si="50"/>
        <v>95775.6</v>
      </c>
      <c r="L87" s="24"/>
      <c r="M87" s="182"/>
      <c r="N87" s="183"/>
      <c r="O87" s="25">
        <f t="shared" si="46"/>
        <v>0</v>
      </c>
      <c r="P87" s="26">
        <f t="shared" si="45"/>
        <v>48.507741935483864</v>
      </c>
      <c r="Q87" s="344"/>
      <c r="R87" s="345"/>
    </row>
    <row r="88" spans="1:50" ht="42" customHeight="1" x14ac:dyDescent="0.25">
      <c r="A88" s="179" t="s">
        <v>93</v>
      </c>
      <c r="B88" s="27" t="s">
        <v>9</v>
      </c>
      <c r="C88" s="27" t="s">
        <v>12</v>
      </c>
      <c r="D88" s="27" t="s">
        <v>14</v>
      </c>
      <c r="E88" s="27" t="s">
        <v>55</v>
      </c>
      <c r="F88" s="27" t="s">
        <v>22</v>
      </c>
      <c r="G88" s="27" t="s">
        <v>94</v>
      </c>
      <c r="H88" s="27"/>
      <c r="I88" s="33">
        <v>220000</v>
      </c>
      <c r="J88" s="44">
        <v>227977.71</v>
      </c>
      <c r="K88" s="28">
        <f>I88-J88</f>
        <v>-7977.7099999999919</v>
      </c>
      <c r="L88" s="94">
        <v>802458</v>
      </c>
      <c r="M88" s="184">
        <f>L88</f>
        <v>802458</v>
      </c>
      <c r="N88" s="185"/>
      <c r="O88" s="30">
        <f>I88-J88-K88</f>
        <v>0</v>
      </c>
      <c r="P88" s="31">
        <v>0</v>
      </c>
      <c r="Q88" s="344"/>
      <c r="R88" s="345"/>
    </row>
    <row r="89" spans="1:50" ht="18.75" x14ac:dyDescent="0.25">
      <c r="A89" s="179" t="s">
        <v>33</v>
      </c>
      <c r="B89" s="27" t="s">
        <v>9</v>
      </c>
      <c r="C89" s="27" t="s">
        <v>12</v>
      </c>
      <c r="D89" s="27" t="s">
        <v>14</v>
      </c>
      <c r="E89" s="27" t="s">
        <v>55</v>
      </c>
      <c r="F89" s="27" t="s">
        <v>22</v>
      </c>
      <c r="G89" s="27" t="s">
        <v>34</v>
      </c>
      <c r="H89" s="27"/>
      <c r="I89" s="33">
        <f>I90</f>
        <v>530000</v>
      </c>
      <c r="J89" s="33">
        <f t="shared" ref="J89:P89" si="51">J90</f>
        <v>392847.55000000005</v>
      </c>
      <c r="K89" s="28">
        <f t="shared" si="51"/>
        <v>137152.44999999995</v>
      </c>
      <c r="L89" s="28" t="e">
        <f t="shared" si="51"/>
        <v>#REF!</v>
      </c>
      <c r="M89" s="28" t="e">
        <f t="shared" si="51"/>
        <v>#REF!</v>
      </c>
      <c r="N89" s="28" t="e">
        <f t="shared" si="51"/>
        <v>#REF!</v>
      </c>
      <c r="O89" s="28">
        <f t="shared" si="51"/>
        <v>0</v>
      </c>
      <c r="P89" s="28">
        <f t="shared" si="51"/>
        <v>74.122179245283021</v>
      </c>
      <c r="Q89" s="331"/>
      <c r="R89" s="331"/>
    </row>
    <row r="90" spans="1:50" ht="18.75" x14ac:dyDescent="0.25">
      <c r="A90" s="99" t="s">
        <v>43</v>
      </c>
      <c r="B90" s="22" t="s">
        <v>9</v>
      </c>
      <c r="C90" s="22" t="s">
        <v>12</v>
      </c>
      <c r="D90" s="22" t="s">
        <v>14</v>
      </c>
      <c r="E90" s="22" t="s">
        <v>55</v>
      </c>
      <c r="F90" s="22" t="s">
        <v>22</v>
      </c>
      <c r="G90" s="22" t="s">
        <v>44</v>
      </c>
      <c r="H90" s="22"/>
      <c r="I90" s="23">
        <f>716000-186000</f>
        <v>530000</v>
      </c>
      <c r="J90" s="23">
        <f>483071.95-J87</f>
        <v>392847.55000000005</v>
      </c>
      <c r="K90" s="35">
        <f>I90-J90</f>
        <v>137152.44999999995</v>
      </c>
      <c r="L90" s="35" t="e">
        <f>L88+#REF!+#REF!</f>
        <v>#REF!</v>
      </c>
      <c r="M90" s="35" t="e">
        <f>M88+#REF!+#REF!</f>
        <v>#REF!</v>
      </c>
      <c r="N90" s="35" t="e">
        <f>N88+#REF!+#REF!</f>
        <v>#REF!</v>
      </c>
      <c r="O90" s="153">
        <f t="shared" si="46"/>
        <v>0</v>
      </c>
      <c r="P90" s="154">
        <f t="shared" si="45"/>
        <v>74.122179245283021</v>
      </c>
      <c r="Q90" s="331"/>
      <c r="R90" s="331"/>
    </row>
    <row r="91" spans="1:50" s="2" customFormat="1" ht="18.75" x14ac:dyDescent="0.25">
      <c r="A91" s="194" t="s">
        <v>45</v>
      </c>
      <c r="B91" s="27" t="s">
        <v>9</v>
      </c>
      <c r="C91" s="27" t="s">
        <v>12</v>
      </c>
      <c r="D91" s="27" t="s">
        <v>14</v>
      </c>
      <c r="E91" s="27" t="s">
        <v>55</v>
      </c>
      <c r="F91" s="27" t="s">
        <v>22</v>
      </c>
      <c r="G91" s="27" t="s">
        <v>46</v>
      </c>
      <c r="H91" s="27"/>
      <c r="I91" s="33">
        <f>I92+I94+I93</f>
        <v>3223400</v>
      </c>
      <c r="J91" s="33">
        <f t="shared" ref="J91:P91" si="52">J92+J94+J93</f>
        <v>2339369.8600000003</v>
      </c>
      <c r="K91" s="33">
        <f t="shared" si="52"/>
        <v>884030.1399999999</v>
      </c>
      <c r="L91" s="33" t="e">
        <f t="shared" si="52"/>
        <v>#REF!</v>
      </c>
      <c r="M91" s="33">
        <f t="shared" si="52"/>
        <v>100</v>
      </c>
      <c r="N91" s="33">
        <f t="shared" si="52"/>
        <v>0</v>
      </c>
      <c r="O91" s="33">
        <f t="shared" si="52"/>
        <v>0</v>
      </c>
      <c r="P91" s="33">
        <f t="shared" si="52"/>
        <v>90.007578815537002</v>
      </c>
      <c r="Q91" s="341"/>
      <c r="R91" s="341"/>
      <c r="S91" s="15"/>
      <c r="T91" s="15"/>
      <c r="U91" s="15"/>
      <c r="V91" s="15"/>
      <c r="W91" s="15"/>
      <c r="X91" s="15"/>
      <c r="Y91" s="1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8.75" x14ac:dyDescent="0.25">
      <c r="A92" s="99" t="s">
        <v>47</v>
      </c>
      <c r="B92" s="22" t="s">
        <v>9</v>
      </c>
      <c r="C92" s="22" t="s">
        <v>12</v>
      </c>
      <c r="D92" s="22" t="s">
        <v>14</v>
      </c>
      <c r="E92" s="22" t="s">
        <v>55</v>
      </c>
      <c r="F92" s="22" t="s">
        <v>22</v>
      </c>
      <c r="G92" s="22" t="s">
        <v>48</v>
      </c>
      <c r="H92" s="22"/>
      <c r="I92" s="23">
        <v>2693400</v>
      </c>
      <c r="J92" s="23">
        <v>2317567.7000000002</v>
      </c>
      <c r="K92" s="35">
        <f t="shared" ref="K92:K93" si="53">I92-J92</f>
        <v>375832.29999999981</v>
      </c>
      <c r="L92" s="50" t="e">
        <f>L94+#REF!+#REF!+#REF!+#REF!</f>
        <v>#REF!</v>
      </c>
      <c r="M92" s="176"/>
      <c r="N92" s="177"/>
      <c r="O92" s="153">
        <f t="shared" si="46"/>
        <v>0</v>
      </c>
      <c r="P92" s="154">
        <f t="shared" si="45"/>
        <v>86.046175837231758</v>
      </c>
      <c r="Q92" s="341"/>
      <c r="R92" s="341"/>
    </row>
    <row r="93" spans="1:50" ht="37.5" x14ac:dyDescent="0.25">
      <c r="A93" s="175" t="s">
        <v>109</v>
      </c>
      <c r="B93" s="22" t="s">
        <v>9</v>
      </c>
      <c r="C93" s="22" t="s">
        <v>12</v>
      </c>
      <c r="D93" s="22" t="s">
        <v>14</v>
      </c>
      <c r="E93" s="22" t="s">
        <v>55</v>
      </c>
      <c r="F93" s="22" t="s">
        <v>22</v>
      </c>
      <c r="G93" s="22" t="s">
        <v>104</v>
      </c>
      <c r="H93" s="22"/>
      <c r="I93" s="23">
        <v>529160</v>
      </c>
      <c r="J93" s="34">
        <v>20962.16</v>
      </c>
      <c r="K93" s="35">
        <f t="shared" si="53"/>
        <v>508197.84</v>
      </c>
      <c r="L93" s="50" t="e">
        <f>#REF!</f>
        <v>#REF!</v>
      </c>
      <c r="M93" s="176"/>
      <c r="N93" s="177"/>
      <c r="O93" s="153">
        <f t="shared" si="46"/>
        <v>0</v>
      </c>
      <c r="P93" s="154">
        <f t="shared" si="45"/>
        <v>3.9614029783052382</v>
      </c>
      <c r="Q93" s="382"/>
      <c r="R93" s="383"/>
    </row>
    <row r="94" spans="1:50" ht="37.5" x14ac:dyDescent="0.25">
      <c r="A94" s="268" t="s">
        <v>110</v>
      </c>
      <c r="B94" s="269" t="s">
        <v>9</v>
      </c>
      <c r="C94" s="22" t="s">
        <v>12</v>
      </c>
      <c r="D94" s="22" t="s">
        <v>14</v>
      </c>
      <c r="E94" s="22" t="s">
        <v>55</v>
      </c>
      <c r="F94" s="22" t="s">
        <v>22</v>
      </c>
      <c r="G94" s="269" t="s">
        <v>105</v>
      </c>
      <c r="H94" s="269"/>
      <c r="I94" s="270">
        <v>840</v>
      </c>
      <c r="J94" s="271">
        <v>840</v>
      </c>
      <c r="K94" s="272">
        <v>0</v>
      </c>
      <c r="L94" s="273">
        <v>0</v>
      </c>
      <c r="M94" s="274">
        <v>100</v>
      </c>
      <c r="N94" s="384"/>
      <c r="O94" s="385"/>
      <c r="P94" s="298"/>
      <c r="Q94" s="387"/>
      <c r="R94" s="387"/>
      <c r="S94" s="276"/>
      <c r="T94" s="276"/>
      <c r="U94" s="276"/>
      <c r="V94" s="276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</row>
    <row r="95" spans="1:50" s="2" customFormat="1" ht="118.5" customHeight="1" x14ac:dyDescent="0.25">
      <c r="A95" s="86" t="s">
        <v>130</v>
      </c>
      <c r="B95" s="41" t="s">
        <v>9</v>
      </c>
      <c r="C95" s="41" t="s">
        <v>12</v>
      </c>
      <c r="D95" s="41" t="s">
        <v>14</v>
      </c>
      <c r="E95" s="41" t="s">
        <v>57</v>
      </c>
      <c r="F95" s="41" t="s">
        <v>22</v>
      </c>
      <c r="G95" s="16"/>
      <c r="H95" s="16"/>
      <c r="I95" s="17">
        <f>I96+I97</f>
        <v>254011.41</v>
      </c>
      <c r="J95" s="17">
        <f t="shared" ref="J95:K95" si="54">J96+J97</f>
        <v>181131.07</v>
      </c>
      <c r="K95" s="17">
        <f t="shared" si="54"/>
        <v>72880.34</v>
      </c>
      <c r="L95" s="42"/>
      <c r="M95" s="186"/>
      <c r="N95" s="187"/>
      <c r="O95" s="20">
        <f t="shared" si="46"/>
        <v>0</v>
      </c>
      <c r="P95" s="21">
        <f t="shared" si="45"/>
        <v>71.308241625838775</v>
      </c>
      <c r="Q95" s="331"/>
      <c r="R95" s="33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2" customFormat="1" ht="18.75" x14ac:dyDescent="0.25">
      <c r="A96" s="175" t="s">
        <v>27</v>
      </c>
      <c r="B96" s="43" t="s">
        <v>9</v>
      </c>
      <c r="C96" s="43" t="s">
        <v>12</v>
      </c>
      <c r="D96" s="43" t="s">
        <v>14</v>
      </c>
      <c r="E96" s="43" t="s">
        <v>57</v>
      </c>
      <c r="F96" s="43" t="s">
        <v>22</v>
      </c>
      <c r="G96" s="43" t="s">
        <v>28</v>
      </c>
      <c r="H96" s="43"/>
      <c r="I96" s="23">
        <v>195093.25</v>
      </c>
      <c r="J96" s="34">
        <v>150697.38</v>
      </c>
      <c r="K96" s="35">
        <f t="shared" ref="K96:K97" si="55">I96-J96</f>
        <v>44395.869999999995</v>
      </c>
      <c r="L96" s="93"/>
      <c r="M96" s="188"/>
      <c r="N96" s="189"/>
      <c r="O96" s="25">
        <f t="shared" si="46"/>
        <v>0</v>
      </c>
      <c r="P96" s="26">
        <f t="shared" si="45"/>
        <v>77.243769325694259</v>
      </c>
      <c r="Q96" s="331"/>
      <c r="R96" s="33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s="15" customFormat="1" ht="18.75" x14ac:dyDescent="0.25">
      <c r="A97" s="99" t="s">
        <v>31</v>
      </c>
      <c r="B97" s="43" t="s">
        <v>9</v>
      </c>
      <c r="C97" s="43" t="s">
        <v>12</v>
      </c>
      <c r="D97" s="43" t="s">
        <v>14</v>
      </c>
      <c r="E97" s="43" t="s">
        <v>57</v>
      </c>
      <c r="F97" s="43" t="s">
        <v>22</v>
      </c>
      <c r="G97" s="103">
        <v>213</v>
      </c>
      <c r="H97" s="22"/>
      <c r="I97" s="23">
        <v>58918.16</v>
      </c>
      <c r="J97" s="34">
        <v>30433.69</v>
      </c>
      <c r="K97" s="35">
        <f t="shared" si="55"/>
        <v>28484.470000000005</v>
      </c>
      <c r="L97" s="93"/>
      <c r="M97" s="188"/>
      <c r="N97" s="189"/>
      <c r="O97" s="25">
        <f t="shared" si="46"/>
        <v>0</v>
      </c>
      <c r="P97" s="26">
        <f t="shared" si="45"/>
        <v>51.65417589415555</v>
      </c>
      <c r="Q97" s="331"/>
      <c r="R97" s="331"/>
    </row>
    <row r="98" spans="1:50" s="15" customFormat="1" ht="118.5" customHeight="1" x14ac:dyDescent="0.25">
      <c r="A98" s="86" t="s">
        <v>131</v>
      </c>
      <c r="B98" s="41" t="s">
        <v>9</v>
      </c>
      <c r="C98" s="41" t="s">
        <v>12</v>
      </c>
      <c r="D98" s="41" t="s">
        <v>14</v>
      </c>
      <c r="E98" s="41" t="s">
        <v>57</v>
      </c>
      <c r="F98" s="41" t="s">
        <v>22</v>
      </c>
      <c r="G98" s="16"/>
      <c r="H98" s="16"/>
      <c r="I98" s="17">
        <f>I99+I100</f>
        <v>1678661.9200000002</v>
      </c>
      <c r="J98" s="17">
        <f t="shared" ref="J98:K98" si="56">J99+J100</f>
        <v>993531.11</v>
      </c>
      <c r="K98" s="17">
        <f t="shared" si="56"/>
        <v>685130.81</v>
      </c>
      <c r="L98" s="42"/>
      <c r="M98" s="186"/>
      <c r="N98" s="187"/>
      <c r="O98" s="20">
        <f t="shared" si="46"/>
        <v>0</v>
      </c>
      <c r="P98" s="21">
        <f t="shared" si="45"/>
        <v>59.185896705156679</v>
      </c>
      <c r="Q98" s="338"/>
      <c r="R98" s="339"/>
    </row>
    <row r="99" spans="1:50" s="15" customFormat="1" ht="18.75" x14ac:dyDescent="0.25">
      <c r="A99" s="175" t="s">
        <v>27</v>
      </c>
      <c r="B99" s="43" t="s">
        <v>9</v>
      </c>
      <c r="C99" s="43" t="s">
        <v>12</v>
      </c>
      <c r="D99" s="43" t="s">
        <v>14</v>
      </c>
      <c r="E99" s="43" t="s">
        <v>57</v>
      </c>
      <c r="F99" s="43" t="s">
        <v>22</v>
      </c>
      <c r="G99" s="43" t="s">
        <v>28</v>
      </c>
      <c r="H99" s="43"/>
      <c r="I99" s="23">
        <v>1289294.8700000001</v>
      </c>
      <c r="J99" s="34">
        <v>763080.73</v>
      </c>
      <c r="K99" s="35">
        <f t="shared" ref="K99:K100" si="57">I99-J99</f>
        <v>526214.14000000013</v>
      </c>
      <c r="L99" s="93"/>
      <c r="M99" s="188"/>
      <c r="N99" s="189"/>
      <c r="O99" s="25">
        <f t="shared" si="46"/>
        <v>0</v>
      </c>
      <c r="P99" s="26">
        <f t="shared" si="45"/>
        <v>59.185896706468696</v>
      </c>
      <c r="Q99" s="338"/>
      <c r="R99" s="339"/>
    </row>
    <row r="100" spans="1:50" s="15" customFormat="1" ht="18.75" x14ac:dyDescent="0.25">
      <c r="A100" s="99" t="s">
        <v>31</v>
      </c>
      <c r="B100" s="43" t="s">
        <v>9</v>
      </c>
      <c r="C100" s="43" t="s">
        <v>12</v>
      </c>
      <c r="D100" s="43" t="s">
        <v>14</v>
      </c>
      <c r="E100" s="43" t="s">
        <v>57</v>
      </c>
      <c r="F100" s="43" t="s">
        <v>22</v>
      </c>
      <c r="G100" s="103">
        <v>213</v>
      </c>
      <c r="H100" s="22"/>
      <c r="I100" s="23">
        <v>389367.05</v>
      </c>
      <c r="J100" s="34">
        <v>230450.38</v>
      </c>
      <c r="K100" s="35">
        <f t="shared" si="57"/>
        <v>158916.66999999998</v>
      </c>
      <c r="L100" s="93"/>
      <c r="M100" s="188"/>
      <c r="N100" s="189"/>
      <c r="O100" s="25">
        <f t="shared" si="46"/>
        <v>0</v>
      </c>
      <c r="P100" s="26">
        <f t="shared" si="45"/>
        <v>59.185896700812258</v>
      </c>
      <c r="Q100" s="338"/>
      <c r="R100" s="339"/>
    </row>
    <row r="101" spans="1:50" s="15" customFormat="1" ht="118.5" hidden="1" customHeight="1" x14ac:dyDescent="0.25">
      <c r="A101" s="86" t="s">
        <v>131</v>
      </c>
      <c r="B101" s="41" t="s">
        <v>9</v>
      </c>
      <c r="C101" s="41" t="s">
        <v>12</v>
      </c>
      <c r="D101" s="41" t="s">
        <v>14</v>
      </c>
      <c r="E101" s="41" t="s">
        <v>152</v>
      </c>
      <c r="F101" s="41" t="s">
        <v>22</v>
      </c>
      <c r="G101" s="16"/>
      <c r="H101" s="16"/>
      <c r="I101" s="17">
        <f>I102+I103</f>
        <v>0</v>
      </c>
      <c r="J101" s="17">
        <f t="shared" ref="J101:K101" si="58">J102+J103</f>
        <v>0</v>
      </c>
      <c r="K101" s="17">
        <f t="shared" si="58"/>
        <v>0</v>
      </c>
      <c r="L101" s="42"/>
      <c r="M101" s="186"/>
      <c r="N101" s="187"/>
      <c r="O101" s="20">
        <f t="shared" si="46"/>
        <v>0</v>
      </c>
      <c r="P101" s="21" t="e">
        <f t="shared" si="45"/>
        <v>#DIV/0!</v>
      </c>
      <c r="Q101" s="338"/>
      <c r="R101" s="339"/>
    </row>
    <row r="102" spans="1:50" s="15" customFormat="1" ht="18.75" hidden="1" x14ac:dyDescent="0.25">
      <c r="A102" s="175" t="s">
        <v>27</v>
      </c>
      <c r="B102" s="43" t="s">
        <v>9</v>
      </c>
      <c r="C102" s="43" t="s">
        <v>12</v>
      </c>
      <c r="D102" s="43" t="s">
        <v>14</v>
      </c>
      <c r="E102" s="43" t="s">
        <v>152</v>
      </c>
      <c r="F102" s="43" t="s">
        <v>22</v>
      </c>
      <c r="G102" s="43" t="s">
        <v>28</v>
      </c>
      <c r="H102" s="43"/>
      <c r="I102" s="121">
        <v>0</v>
      </c>
      <c r="J102" s="122">
        <v>0</v>
      </c>
      <c r="K102" s="35">
        <f>I102-J102</f>
        <v>0</v>
      </c>
      <c r="L102" s="93"/>
      <c r="M102" s="188"/>
      <c r="N102" s="189"/>
      <c r="O102" s="25">
        <f>I102-J102-K102</f>
        <v>0</v>
      </c>
      <c r="P102" s="26" t="e">
        <f t="shared" si="45"/>
        <v>#DIV/0!</v>
      </c>
      <c r="Q102" s="338"/>
      <c r="R102" s="339"/>
    </row>
    <row r="103" spans="1:50" s="15" customFormat="1" ht="18.75" hidden="1" x14ac:dyDescent="0.25">
      <c r="A103" s="99" t="s">
        <v>31</v>
      </c>
      <c r="B103" s="43" t="s">
        <v>9</v>
      </c>
      <c r="C103" s="43" t="s">
        <v>12</v>
      </c>
      <c r="D103" s="43" t="s">
        <v>14</v>
      </c>
      <c r="E103" s="43" t="s">
        <v>152</v>
      </c>
      <c r="F103" s="43" t="s">
        <v>22</v>
      </c>
      <c r="G103" s="103">
        <v>213</v>
      </c>
      <c r="H103" s="22"/>
      <c r="I103" s="121">
        <v>0</v>
      </c>
      <c r="J103" s="122">
        <v>0</v>
      </c>
      <c r="K103" s="35">
        <f t="shared" ref="K103" si="59">I103-J103</f>
        <v>0</v>
      </c>
      <c r="L103" s="93"/>
      <c r="M103" s="188"/>
      <c r="N103" s="189"/>
      <c r="O103" s="25">
        <f t="shared" si="46"/>
        <v>0</v>
      </c>
      <c r="P103" s="26" t="e">
        <f t="shared" si="45"/>
        <v>#DIV/0!</v>
      </c>
      <c r="Q103" s="338"/>
      <c r="R103" s="339"/>
    </row>
    <row r="104" spans="1:50" s="2" customFormat="1" ht="62.25" customHeight="1" x14ac:dyDescent="0.25">
      <c r="A104" s="190" t="s">
        <v>58</v>
      </c>
      <c r="B104" s="41" t="s">
        <v>9</v>
      </c>
      <c r="C104" s="41" t="s">
        <v>12</v>
      </c>
      <c r="D104" s="41" t="s">
        <v>14</v>
      </c>
      <c r="E104" s="41" t="s">
        <v>59</v>
      </c>
      <c r="F104" s="41" t="s">
        <v>22</v>
      </c>
      <c r="G104" s="41"/>
      <c r="H104" s="41"/>
      <c r="I104" s="17">
        <f>I106+I105</f>
        <v>1881935.78</v>
      </c>
      <c r="J104" s="17">
        <f>J106+J105</f>
        <v>819242.30999999994</v>
      </c>
      <c r="K104" s="17">
        <f>K106+K105</f>
        <v>1062693.47</v>
      </c>
      <c r="L104" s="18"/>
      <c r="M104" s="195"/>
      <c r="N104" s="196"/>
      <c r="O104" s="20">
        <f t="shared" si="46"/>
        <v>0</v>
      </c>
      <c r="P104" s="21">
        <f t="shared" si="45"/>
        <v>43.53189512130961</v>
      </c>
      <c r="Q104" s="331"/>
      <c r="R104" s="33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28.5" customHeight="1" x14ac:dyDescent="0.25">
      <c r="A105" s="175" t="s">
        <v>167</v>
      </c>
      <c r="B105" s="22" t="s">
        <v>9</v>
      </c>
      <c r="C105" s="22" t="s">
        <v>12</v>
      </c>
      <c r="D105" s="22" t="s">
        <v>14</v>
      </c>
      <c r="E105" s="22" t="s">
        <v>59</v>
      </c>
      <c r="F105" s="22" t="s">
        <v>22</v>
      </c>
      <c r="G105" s="22" t="s">
        <v>146</v>
      </c>
      <c r="H105" s="22"/>
      <c r="I105" s="23">
        <v>249335.78</v>
      </c>
      <c r="J105" s="34">
        <v>82550.080000000002</v>
      </c>
      <c r="K105" s="34">
        <f>I105-J105</f>
        <v>166785.70000000001</v>
      </c>
      <c r="L105" s="24"/>
      <c r="M105" s="182"/>
      <c r="N105" s="183"/>
      <c r="O105" s="25"/>
      <c r="P105" s="26"/>
      <c r="Q105" s="331"/>
      <c r="R105" s="331"/>
    </row>
    <row r="106" spans="1:50" ht="18.75" x14ac:dyDescent="0.25">
      <c r="A106" s="99" t="s">
        <v>113</v>
      </c>
      <c r="B106" s="22" t="s">
        <v>9</v>
      </c>
      <c r="C106" s="22" t="s">
        <v>12</v>
      </c>
      <c r="D106" s="22" t="s">
        <v>14</v>
      </c>
      <c r="E106" s="22" t="s">
        <v>59</v>
      </c>
      <c r="F106" s="22" t="s">
        <v>22</v>
      </c>
      <c r="G106" s="22" t="s">
        <v>114</v>
      </c>
      <c r="H106" s="22"/>
      <c r="I106" s="23">
        <v>1632600</v>
      </c>
      <c r="J106" s="34">
        <v>736692.23</v>
      </c>
      <c r="K106" s="34">
        <f>I106-J106</f>
        <v>895907.77</v>
      </c>
      <c r="L106" s="93" t="e">
        <f>#REF!</f>
        <v>#REF!</v>
      </c>
      <c r="M106" s="188"/>
      <c r="N106" s="189"/>
      <c r="O106" s="25">
        <f t="shared" si="46"/>
        <v>0</v>
      </c>
      <c r="P106" s="26">
        <f t="shared" si="45"/>
        <v>45.123865613132423</v>
      </c>
      <c r="Q106" s="331"/>
      <c r="R106" s="331"/>
    </row>
    <row r="107" spans="1:50" s="15" customFormat="1" ht="117.75" customHeight="1" x14ac:dyDescent="0.25">
      <c r="A107" s="190" t="s">
        <v>73</v>
      </c>
      <c r="B107" s="41" t="s">
        <v>9</v>
      </c>
      <c r="C107" s="41" t="s">
        <v>12</v>
      </c>
      <c r="D107" s="41" t="s">
        <v>12</v>
      </c>
      <c r="E107" s="41" t="s">
        <v>74</v>
      </c>
      <c r="F107" s="41"/>
      <c r="G107" s="41"/>
      <c r="H107" s="41"/>
      <c r="I107" s="17">
        <f>I109+I108</f>
        <v>383076</v>
      </c>
      <c r="J107" s="17">
        <f t="shared" ref="J107:K107" si="60">J109+J108</f>
        <v>383076</v>
      </c>
      <c r="K107" s="17">
        <f t="shared" si="60"/>
        <v>0</v>
      </c>
      <c r="L107" s="18" t="e">
        <f>L109</f>
        <v>#REF!</v>
      </c>
      <c r="M107" s="186"/>
      <c r="N107" s="187"/>
      <c r="O107" s="20">
        <f>I107-J107-K107</f>
        <v>0</v>
      </c>
      <c r="P107" s="21">
        <f>J107/I107*100</f>
        <v>100</v>
      </c>
      <c r="Q107" s="331"/>
      <c r="R107" s="331"/>
      <c r="Z107" s="1"/>
      <c r="AA107" s="1"/>
      <c r="AB107" s="1"/>
      <c r="AC107" s="1"/>
      <c r="AD107" s="1"/>
    </row>
    <row r="108" spans="1:50" s="15" customFormat="1" ht="18.75" x14ac:dyDescent="0.25">
      <c r="A108" s="99" t="s">
        <v>43</v>
      </c>
      <c r="B108" s="22" t="s">
        <v>9</v>
      </c>
      <c r="C108" s="22" t="s">
        <v>12</v>
      </c>
      <c r="D108" s="22" t="s">
        <v>12</v>
      </c>
      <c r="E108" s="22" t="s">
        <v>74</v>
      </c>
      <c r="F108" s="22" t="s">
        <v>22</v>
      </c>
      <c r="G108" s="22" t="s">
        <v>44</v>
      </c>
      <c r="H108" s="27"/>
      <c r="I108" s="23">
        <v>216000</v>
      </c>
      <c r="J108" s="23">
        <v>216000</v>
      </c>
      <c r="K108" s="34">
        <f>I108-J108</f>
        <v>0</v>
      </c>
      <c r="L108" s="24"/>
      <c r="M108" s="182"/>
      <c r="N108" s="183"/>
      <c r="O108" s="30">
        <f t="shared" si="46"/>
        <v>0</v>
      </c>
      <c r="P108" s="31">
        <f>J108/I108*100</f>
        <v>100</v>
      </c>
      <c r="Q108" s="338"/>
      <c r="R108" s="339"/>
      <c r="Z108" s="1"/>
      <c r="AA108" s="1"/>
      <c r="AB108" s="1"/>
      <c r="AC108" s="1"/>
      <c r="AD108" s="1"/>
    </row>
    <row r="109" spans="1:50" ht="18.75" x14ac:dyDescent="0.25">
      <c r="A109" s="99" t="s">
        <v>113</v>
      </c>
      <c r="B109" s="22" t="s">
        <v>9</v>
      </c>
      <c r="C109" s="22" t="s">
        <v>12</v>
      </c>
      <c r="D109" s="22" t="s">
        <v>12</v>
      </c>
      <c r="E109" s="22" t="s">
        <v>74</v>
      </c>
      <c r="F109" s="22" t="s">
        <v>22</v>
      </c>
      <c r="G109" s="22" t="s">
        <v>114</v>
      </c>
      <c r="H109" s="22"/>
      <c r="I109" s="23">
        <v>167076</v>
      </c>
      <c r="J109" s="23">
        <v>167076</v>
      </c>
      <c r="K109" s="34">
        <f>I109-J109</f>
        <v>0</v>
      </c>
      <c r="L109" s="24" t="e">
        <f>#REF!</f>
        <v>#REF!</v>
      </c>
      <c r="M109" s="182"/>
      <c r="N109" s="183"/>
      <c r="O109" s="25">
        <f t="shared" si="46"/>
        <v>0</v>
      </c>
      <c r="P109" s="26">
        <f>J109/I109*100</f>
        <v>100</v>
      </c>
      <c r="Q109" s="331"/>
      <c r="R109" s="331"/>
    </row>
    <row r="110" spans="1:50" s="2" customFormat="1" ht="19.5" customHeight="1" x14ac:dyDescent="0.3">
      <c r="A110" s="333" t="s">
        <v>60</v>
      </c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5"/>
      <c r="Q110" s="340"/>
      <c r="R110" s="340"/>
    </row>
    <row r="111" spans="1:50" ht="78" x14ac:dyDescent="0.25">
      <c r="A111" s="51" t="s">
        <v>8</v>
      </c>
      <c r="B111" s="52" t="s">
        <v>9</v>
      </c>
      <c r="C111" s="52"/>
      <c r="D111" s="52"/>
      <c r="E111" s="52"/>
      <c r="F111" s="52"/>
      <c r="G111" s="52"/>
      <c r="H111" s="52"/>
      <c r="I111" s="53">
        <f>I112+I126+I133+I138+I136+I143+I147+I150+I145</f>
        <v>781959.98</v>
      </c>
      <c r="J111" s="53">
        <f>J112+J126+J133+J138+J136+J150+J143+J147+J145</f>
        <v>448208.84</v>
      </c>
      <c r="K111" s="53">
        <f>K112+K126+K133+K138+K136+K143+K147+K150+K145</f>
        <v>333751.14</v>
      </c>
      <c r="L111" s="53" t="e">
        <f t="shared" ref="L111:N111" si="61">L112+L126</f>
        <v>#REF!</v>
      </c>
      <c r="M111" s="53" t="e">
        <f t="shared" si="61"/>
        <v>#REF!</v>
      </c>
      <c r="N111" s="53" t="e">
        <f t="shared" si="61"/>
        <v>#REF!</v>
      </c>
      <c r="O111" s="53">
        <f>I111-J111-K111</f>
        <v>0</v>
      </c>
      <c r="P111" s="54">
        <f t="shared" ref="P111:P126" si="62">J111/I111*100</f>
        <v>57.318641805684237</v>
      </c>
      <c r="Q111" s="331"/>
      <c r="R111" s="331"/>
    </row>
    <row r="112" spans="1:50" ht="19.5" x14ac:dyDescent="0.25">
      <c r="A112" s="173" t="s">
        <v>11</v>
      </c>
      <c r="B112" s="8" t="s">
        <v>9</v>
      </c>
      <c r="C112" s="8" t="s">
        <v>12</v>
      </c>
      <c r="D112" s="8"/>
      <c r="E112" s="8"/>
      <c r="F112" s="8"/>
      <c r="G112" s="8"/>
      <c r="H112" s="8"/>
      <c r="I112" s="9">
        <f>I113+I117+I120+I123+I115+I152</f>
        <v>537217.12</v>
      </c>
      <c r="J112" s="9">
        <f>J113+J117+J120+J123+J115+J152</f>
        <v>270881.26</v>
      </c>
      <c r="K112" s="9">
        <f>K113+K117+K120+K123+K115+K152</f>
        <v>266335.86</v>
      </c>
      <c r="L112" s="10" t="e">
        <f>L113+#REF!</f>
        <v>#REF!</v>
      </c>
      <c r="M112" s="197"/>
      <c r="N112" s="198"/>
      <c r="O112" s="11">
        <f>I112-J112-K112</f>
        <v>0</v>
      </c>
      <c r="P112" s="12">
        <f t="shared" si="62"/>
        <v>50.423050553563897</v>
      </c>
      <c r="Q112" s="331"/>
      <c r="R112" s="331"/>
    </row>
    <row r="113" spans="1:50" ht="120.75" customHeight="1" x14ac:dyDescent="0.25">
      <c r="A113" s="190" t="s">
        <v>61</v>
      </c>
      <c r="B113" s="41" t="s">
        <v>9</v>
      </c>
      <c r="C113" s="41" t="s">
        <v>12</v>
      </c>
      <c r="D113" s="41" t="s">
        <v>14</v>
      </c>
      <c r="E113" s="41" t="s">
        <v>62</v>
      </c>
      <c r="F113" s="41"/>
      <c r="G113" s="41"/>
      <c r="H113" s="41"/>
      <c r="I113" s="17">
        <f>I114</f>
        <v>13261.15</v>
      </c>
      <c r="J113" s="17">
        <f t="shared" ref="J113:L115" si="63">J114</f>
        <v>8890.15</v>
      </c>
      <c r="K113" s="17">
        <f t="shared" si="63"/>
        <v>4371</v>
      </c>
      <c r="L113" s="18" t="e">
        <f t="shared" si="63"/>
        <v>#REF!</v>
      </c>
      <c r="M113" s="186"/>
      <c r="N113" s="187"/>
      <c r="O113" s="20">
        <f>I113-J113-K113</f>
        <v>0</v>
      </c>
      <c r="P113" s="21">
        <f t="shared" si="62"/>
        <v>67.039057698615878</v>
      </c>
      <c r="Q113" s="331"/>
      <c r="R113" s="331"/>
      <c r="S113" s="15"/>
    </row>
    <row r="114" spans="1:50" ht="23.25" customHeight="1" x14ac:dyDescent="0.25">
      <c r="A114" s="99" t="s">
        <v>113</v>
      </c>
      <c r="B114" s="22" t="s">
        <v>9</v>
      </c>
      <c r="C114" s="22" t="s">
        <v>12</v>
      </c>
      <c r="D114" s="22" t="s">
        <v>14</v>
      </c>
      <c r="E114" s="43" t="s">
        <v>62</v>
      </c>
      <c r="F114" s="22" t="s">
        <v>63</v>
      </c>
      <c r="G114" s="22" t="s">
        <v>114</v>
      </c>
      <c r="H114" s="22"/>
      <c r="I114" s="23">
        <v>13261.15</v>
      </c>
      <c r="J114" s="34">
        <v>8890.15</v>
      </c>
      <c r="K114" s="34">
        <f>I114-J114</f>
        <v>4371</v>
      </c>
      <c r="L114" s="24" t="e">
        <f>#REF!</f>
        <v>#REF!</v>
      </c>
      <c r="M114" s="184"/>
      <c r="N114" s="185"/>
      <c r="O114" s="25">
        <f>I114-K114-J114</f>
        <v>0</v>
      </c>
      <c r="P114" s="26">
        <f t="shared" si="62"/>
        <v>67.039057698615878</v>
      </c>
      <c r="Q114" s="331"/>
      <c r="R114" s="331"/>
      <c r="Z114" s="15"/>
      <c r="AA114" s="15"/>
      <c r="AB114" s="15"/>
      <c r="AC114" s="15"/>
      <c r="AD114" s="15"/>
    </row>
    <row r="115" spans="1:50" ht="106.5" customHeight="1" x14ac:dyDescent="0.25">
      <c r="A115" s="190" t="s">
        <v>141</v>
      </c>
      <c r="B115" s="41" t="s">
        <v>9</v>
      </c>
      <c r="C115" s="41" t="s">
        <v>12</v>
      </c>
      <c r="D115" s="41" t="s">
        <v>14</v>
      </c>
      <c r="E115" s="41" t="s">
        <v>136</v>
      </c>
      <c r="F115" s="41"/>
      <c r="G115" s="41"/>
      <c r="H115" s="41"/>
      <c r="I115" s="17">
        <f>I116</f>
        <v>355955.97</v>
      </c>
      <c r="J115" s="17">
        <f t="shared" si="63"/>
        <v>143991.10999999999</v>
      </c>
      <c r="K115" s="17">
        <f t="shared" si="63"/>
        <v>211964.86</v>
      </c>
      <c r="L115" s="18" t="e">
        <f t="shared" si="63"/>
        <v>#REF!</v>
      </c>
      <c r="M115" s="186"/>
      <c r="N115" s="187"/>
      <c r="O115" s="20">
        <f>I115-J115-K115</f>
        <v>0</v>
      </c>
      <c r="P115" s="21">
        <f t="shared" si="62"/>
        <v>40.451944098591738</v>
      </c>
      <c r="Q115" s="331"/>
      <c r="R115" s="331"/>
      <c r="Z115" s="15"/>
      <c r="AA115" s="15"/>
      <c r="AB115" s="15"/>
      <c r="AC115" s="15"/>
      <c r="AD115" s="15"/>
    </row>
    <row r="116" spans="1:50" ht="23.25" customHeight="1" x14ac:dyDescent="0.25">
      <c r="A116" s="99" t="s">
        <v>113</v>
      </c>
      <c r="B116" s="22" t="s">
        <v>9</v>
      </c>
      <c r="C116" s="22" t="s">
        <v>12</v>
      </c>
      <c r="D116" s="22" t="s">
        <v>14</v>
      </c>
      <c r="E116" s="43" t="s">
        <v>136</v>
      </c>
      <c r="F116" s="22" t="s">
        <v>63</v>
      </c>
      <c r="G116" s="22" t="s">
        <v>114</v>
      </c>
      <c r="H116" s="22"/>
      <c r="I116" s="23">
        <v>355955.97</v>
      </c>
      <c r="J116" s="34">
        <v>143991.10999999999</v>
      </c>
      <c r="K116" s="34">
        <f>I116-J116</f>
        <v>211964.86</v>
      </c>
      <c r="L116" s="24" t="e">
        <f>#REF!</f>
        <v>#REF!</v>
      </c>
      <c r="M116" s="184"/>
      <c r="N116" s="185"/>
      <c r="O116" s="25">
        <f>I116-K116-J116</f>
        <v>0</v>
      </c>
      <c r="P116" s="26">
        <f t="shared" si="62"/>
        <v>40.451944098591738</v>
      </c>
      <c r="Q116" s="331"/>
      <c r="R116" s="331"/>
      <c r="Z116" s="15"/>
      <c r="AA116" s="15"/>
      <c r="AB116" s="15"/>
      <c r="AC116" s="15"/>
      <c r="AD116" s="15"/>
    </row>
    <row r="117" spans="1:50" s="2" customFormat="1" ht="80.25" customHeight="1" x14ac:dyDescent="0.25">
      <c r="A117" s="190" t="s">
        <v>117</v>
      </c>
      <c r="B117" s="41" t="s">
        <v>9</v>
      </c>
      <c r="C117" s="41" t="s">
        <v>12</v>
      </c>
      <c r="D117" s="41" t="s">
        <v>12</v>
      </c>
      <c r="E117" s="41" t="s">
        <v>90</v>
      </c>
      <c r="F117" s="41"/>
      <c r="G117" s="16"/>
      <c r="H117" s="16"/>
      <c r="I117" s="17">
        <f>I118+I119</f>
        <v>65000</v>
      </c>
      <c r="J117" s="17">
        <f t="shared" ref="J117:K117" si="64">J118+J119</f>
        <v>30000</v>
      </c>
      <c r="K117" s="17">
        <f t="shared" si="64"/>
        <v>35000</v>
      </c>
      <c r="L117" s="69"/>
      <c r="M117" s="186"/>
      <c r="N117" s="187"/>
      <c r="O117" s="20">
        <v>0</v>
      </c>
      <c r="P117" s="21">
        <f t="shared" si="62"/>
        <v>46.153846153846153</v>
      </c>
      <c r="Q117" s="331"/>
      <c r="R117" s="331"/>
      <c r="S117" s="1"/>
      <c r="T117" s="15"/>
      <c r="U117" s="15"/>
      <c r="V117" s="15"/>
      <c r="W117" s="15"/>
      <c r="X117" s="15"/>
      <c r="Y117" s="1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s="2" customFormat="1" ht="39.75" customHeight="1" x14ac:dyDescent="0.25">
      <c r="A118" s="175" t="s">
        <v>109</v>
      </c>
      <c r="B118" s="22" t="s">
        <v>9</v>
      </c>
      <c r="C118" s="22" t="s">
        <v>12</v>
      </c>
      <c r="D118" s="22" t="s">
        <v>12</v>
      </c>
      <c r="E118" s="43" t="s">
        <v>90</v>
      </c>
      <c r="F118" s="22" t="s">
        <v>63</v>
      </c>
      <c r="G118" s="22" t="s">
        <v>104</v>
      </c>
      <c r="H118" s="22"/>
      <c r="I118" s="23">
        <v>22000</v>
      </c>
      <c r="J118" s="34">
        <v>22000</v>
      </c>
      <c r="K118" s="35">
        <f>I118-J118</f>
        <v>0</v>
      </c>
      <c r="L118" s="57"/>
      <c r="M118" s="188"/>
      <c r="N118" s="189"/>
      <c r="O118" s="25">
        <f>O119</f>
        <v>0</v>
      </c>
      <c r="P118" s="26">
        <f t="shared" si="62"/>
        <v>100</v>
      </c>
      <c r="Q118" s="331"/>
      <c r="R118" s="331"/>
      <c r="S118" s="1"/>
      <c r="T118" s="15"/>
      <c r="U118" s="15"/>
      <c r="V118" s="15"/>
      <c r="W118" s="15"/>
      <c r="X118" s="15"/>
      <c r="Y118" s="1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s="2" customFormat="1" ht="40.5" customHeight="1" x14ac:dyDescent="0.25">
      <c r="A119" s="175" t="s">
        <v>110</v>
      </c>
      <c r="B119" s="22" t="s">
        <v>9</v>
      </c>
      <c r="C119" s="22" t="s">
        <v>12</v>
      </c>
      <c r="D119" s="22" t="s">
        <v>12</v>
      </c>
      <c r="E119" s="43" t="s">
        <v>90</v>
      </c>
      <c r="F119" s="22" t="s">
        <v>63</v>
      </c>
      <c r="G119" s="22" t="s">
        <v>105</v>
      </c>
      <c r="H119" s="22"/>
      <c r="I119" s="23">
        <v>43000</v>
      </c>
      <c r="J119" s="34">
        <v>8000</v>
      </c>
      <c r="K119" s="35">
        <f>I119-J119</f>
        <v>35000</v>
      </c>
      <c r="L119" s="49"/>
      <c r="M119" s="188"/>
      <c r="N119" s="189"/>
      <c r="O119" s="25">
        <f>I119-J119-K119</f>
        <v>0</v>
      </c>
      <c r="P119" s="26">
        <f t="shared" si="62"/>
        <v>18.604651162790699</v>
      </c>
      <c r="Q119" s="331"/>
      <c r="R119" s="331"/>
      <c r="S119" s="1"/>
      <c r="T119" s="15"/>
      <c r="U119" s="15"/>
      <c r="V119" s="15"/>
      <c r="W119" s="15"/>
      <c r="X119" s="15"/>
      <c r="Y119" s="1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s="2" customFormat="1" ht="91.5" customHeight="1" x14ac:dyDescent="0.25">
      <c r="A120" s="190" t="s">
        <v>118</v>
      </c>
      <c r="B120" s="41" t="s">
        <v>9</v>
      </c>
      <c r="C120" s="41" t="s">
        <v>12</v>
      </c>
      <c r="D120" s="41" t="s">
        <v>12</v>
      </c>
      <c r="E120" s="16" t="s">
        <v>115</v>
      </c>
      <c r="F120" s="41"/>
      <c r="G120" s="16"/>
      <c r="H120" s="16"/>
      <c r="I120" s="17">
        <f>I121+I122</f>
        <v>13000</v>
      </c>
      <c r="J120" s="17">
        <f t="shared" ref="J120:K120" si="65">J121+J122</f>
        <v>8000</v>
      </c>
      <c r="K120" s="17">
        <f t="shared" si="65"/>
        <v>5000</v>
      </c>
      <c r="L120" s="69"/>
      <c r="M120" s="186"/>
      <c r="N120" s="187"/>
      <c r="O120" s="20">
        <v>0</v>
      </c>
      <c r="P120" s="21">
        <f t="shared" si="62"/>
        <v>61.53846153846154</v>
      </c>
      <c r="Q120" s="331"/>
      <c r="R120" s="331"/>
      <c r="S120" s="1"/>
      <c r="T120" s="15"/>
      <c r="U120" s="15"/>
      <c r="V120" s="15"/>
      <c r="W120" s="15"/>
      <c r="X120" s="15"/>
      <c r="Y120" s="1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s="2" customFormat="1" ht="39.75" customHeight="1" x14ac:dyDescent="0.25">
      <c r="A121" s="175" t="s">
        <v>109</v>
      </c>
      <c r="B121" s="22" t="s">
        <v>9</v>
      </c>
      <c r="C121" s="22" t="s">
        <v>12</v>
      </c>
      <c r="D121" s="22" t="s">
        <v>12</v>
      </c>
      <c r="E121" s="43" t="s">
        <v>115</v>
      </c>
      <c r="F121" s="22" t="s">
        <v>63</v>
      </c>
      <c r="G121" s="22" t="s">
        <v>104</v>
      </c>
      <c r="H121" s="22"/>
      <c r="I121" s="23">
        <v>7000</v>
      </c>
      <c r="J121" s="34">
        <v>2000</v>
      </c>
      <c r="K121" s="35">
        <f>I121-J121</f>
        <v>5000</v>
      </c>
      <c r="L121" s="57"/>
      <c r="M121" s="188"/>
      <c r="N121" s="189"/>
      <c r="O121" s="25">
        <f>O122</f>
        <v>0</v>
      </c>
      <c r="P121" s="26">
        <f t="shared" si="62"/>
        <v>28.571428571428569</v>
      </c>
      <c r="Q121" s="331"/>
      <c r="R121" s="331"/>
      <c r="S121" s="1"/>
      <c r="T121" s="15"/>
      <c r="U121" s="15"/>
      <c r="V121" s="15"/>
      <c r="W121" s="15"/>
      <c r="X121" s="15"/>
      <c r="Y121" s="1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s="2" customFormat="1" ht="40.5" customHeight="1" x14ac:dyDescent="0.25">
      <c r="A122" s="175" t="s">
        <v>110</v>
      </c>
      <c r="B122" s="22" t="s">
        <v>9</v>
      </c>
      <c r="C122" s="22" t="s">
        <v>12</v>
      </c>
      <c r="D122" s="22" t="s">
        <v>12</v>
      </c>
      <c r="E122" s="43" t="s">
        <v>115</v>
      </c>
      <c r="F122" s="22" t="s">
        <v>63</v>
      </c>
      <c r="G122" s="22" t="s">
        <v>105</v>
      </c>
      <c r="H122" s="22"/>
      <c r="I122" s="23">
        <v>6000</v>
      </c>
      <c r="J122" s="34">
        <v>6000</v>
      </c>
      <c r="K122" s="35">
        <f>I122-J122</f>
        <v>0</v>
      </c>
      <c r="L122" s="49"/>
      <c r="M122" s="188"/>
      <c r="N122" s="189"/>
      <c r="O122" s="25">
        <f>I122-J122-K122</f>
        <v>0</v>
      </c>
      <c r="P122" s="26">
        <f t="shared" si="62"/>
        <v>100</v>
      </c>
      <c r="Q122" s="331"/>
      <c r="R122" s="331"/>
      <c r="S122" s="1"/>
      <c r="T122" s="15"/>
      <c r="U122" s="15"/>
      <c r="V122" s="15"/>
      <c r="W122" s="15"/>
      <c r="X122" s="15"/>
      <c r="Y122" s="1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s="2" customFormat="1" ht="88.5" customHeight="1" x14ac:dyDescent="0.25">
      <c r="A123" s="190" t="s">
        <v>119</v>
      </c>
      <c r="B123" s="41" t="s">
        <v>9</v>
      </c>
      <c r="C123" s="41" t="s">
        <v>12</v>
      </c>
      <c r="D123" s="41" t="s">
        <v>85</v>
      </c>
      <c r="E123" s="16" t="s">
        <v>116</v>
      </c>
      <c r="F123" s="41"/>
      <c r="G123" s="16"/>
      <c r="H123" s="16"/>
      <c r="I123" s="17">
        <f>I124+I125</f>
        <v>27000</v>
      </c>
      <c r="J123" s="17">
        <f t="shared" ref="J123:K123" si="66">J124+J125</f>
        <v>17000</v>
      </c>
      <c r="K123" s="17">
        <f t="shared" si="66"/>
        <v>10000</v>
      </c>
      <c r="L123" s="69"/>
      <c r="M123" s="186"/>
      <c r="N123" s="187"/>
      <c r="O123" s="20">
        <v>0</v>
      </c>
      <c r="P123" s="21">
        <f t="shared" si="62"/>
        <v>62.962962962962962</v>
      </c>
      <c r="Q123" s="331"/>
      <c r="R123" s="331"/>
      <c r="S123" s="1"/>
      <c r="T123" s="15"/>
      <c r="U123" s="15"/>
      <c r="V123" s="15"/>
      <c r="W123" s="15"/>
      <c r="X123" s="15"/>
      <c r="Y123" s="1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s="2" customFormat="1" ht="39.75" customHeight="1" x14ac:dyDescent="0.25">
      <c r="A124" s="175" t="s">
        <v>109</v>
      </c>
      <c r="B124" s="22" t="s">
        <v>9</v>
      </c>
      <c r="C124" s="22" t="s">
        <v>12</v>
      </c>
      <c r="D124" s="22" t="s">
        <v>85</v>
      </c>
      <c r="E124" s="43" t="s">
        <v>116</v>
      </c>
      <c r="F124" s="22" t="s">
        <v>63</v>
      </c>
      <c r="G124" s="22" t="s">
        <v>104</v>
      </c>
      <c r="H124" s="22"/>
      <c r="I124" s="23">
        <v>7000</v>
      </c>
      <c r="J124" s="34">
        <v>3000</v>
      </c>
      <c r="K124" s="35">
        <f>I124-J124</f>
        <v>4000</v>
      </c>
      <c r="L124" s="57"/>
      <c r="M124" s="188"/>
      <c r="N124" s="189"/>
      <c r="O124" s="25">
        <f>O125</f>
        <v>0</v>
      </c>
      <c r="P124" s="26">
        <f t="shared" si="62"/>
        <v>42.857142857142854</v>
      </c>
      <c r="Q124" s="331"/>
      <c r="R124" s="331"/>
      <c r="S124" s="1"/>
      <c r="T124" s="15"/>
      <c r="U124" s="15"/>
      <c r="V124" s="15"/>
      <c r="W124" s="15"/>
      <c r="X124" s="15"/>
      <c r="Y124" s="1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s="2" customFormat="1" ht="40.5" customHeight="1" x14ac:dyDescent="0.25">
      <c r="A125" s="175" t="s">
        <v>110</v>
      </c>
      <c r="B125" s="22" t="s">
        <v>9</v>
      </c>
      <c r="C125" s="22" t="s">
        <v>12</v>
      </c>
      <c r="D125" s="22" t="s">
        <v>85</v>
      </c>
      <c r="E125" s="43" t="s">
        <v>116</v>
      </c>
      <c r="F125" s="22" t="s">
        <v>63</v>
      </c>
      <c r="G125" s="22" t="s">
        <v>105</v>
      </c>
      <c r="H125" s="22"/>
      <c r="I125" s="23">
        <v>20000</v>
      </c>
      <c r="J125" s="34">
        <v>14000</v>
      </c>
      <c r="K125" s="35">
        <f>I125-J125</f>
        <v>6000</v>
      </c>
      <c r="L125" s="49"/>
      <c r="M125" s="188"/>
      <c r="N125" s="189"/>
      <c r="O125" s="25">
        <f>I125-J125-K125</f>
        <v>0</v>
      </c>
      <c r="P125" s="26">
        <f t="shared" si="62"/>
        <v>70</v>
      </c>
      <c r="Q125" s="331"/>
      <c r="R125" s="331"/>
      <c r="S125" s="1"/>
      <c r="T125" s="15"/>
      <c r="U125" s="15"/>
      <c r="V125" s="15"/>
      <c r="W125" s="15"/>
      <c r="X125" s="15"/>
      <c r="Y125" s="1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s="2" customFormat="1" ht="59.25" customHeight="1" x14ac:dyDescent="0.25">
      <c r="A126" s="86" t="s">
        <v>67</v>
      </c>
      <c r="B126" s="41" t="s">
        <v>9</v>
      </c>
      <c r="C126" s="41" t="s">
        <v>68</v>
      </c>
      <c r="D126" s="41" t="s">
        <v>69</v>
      </c>
      <c r="E126" s="41" t="s">
        <v>70</v>
      </c>
      <c r="F126" s="41"/>
      <c r="G126" s="41"/>
      <c r="H126" s="41"/>
      <c r="I126" s="17">
        <f>I127+I129+I131+I132+I128+I130</f>
        <v>65000</v>
      </c>
      <c r="J126" s="17">
        <f>J127+J129+J131+J132+J128+J130</f>
        <v>44652</v>
      </c>
      <c r="K126" s="17">
        <f>K127+K129+K131+K132+K128+K130</f>
        <v>20348</v>
      </c>
      <c r="L126" s="17" t="e">
        <f>L127+#REF!+#REF!</f>
        <v>#REF!</v>
      </c>
      <c r="M126" s="17" t="e">
        <f>M127+#REF!+#REF!</f>
        <v>#REF!</v>
      </c>
      <c r="N126" s="17" t="e">
        <f>N127+#REF!+#REF!</f>
        <v>#REF!</v>
      </c>
      <c r="O126" s="89">
        <f>I126-J126-K126</f>
        <v>0</v>
      </c>
      <c r="P126" s="21">
        <f t="shared" si="62"/>
        <v>68.695384615384611</v>
      </c>
      <c r="Q126" s="331"/>
      <c r="R126" s="33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s="2" customFormat="1" ht="18.75" x14ac:dyDescent="0.25">
      <c r="A127" s="175" t="s">
        <v>43</v>
      </c>
      <c r="B127" s="22" t="s">
        <v>9</v>
      </c>
      <c r="C127" s="22" t="s">
        <v>68</v>
      </c>
      <c r="D127" s="22" t="s">
        <v>69</v>
      </c>
      <c r="E127" s="22" t="s">
        <v>70</v>
      </c>
      <c r="F127" s="22" t="s">
        <v>63</v>
      </c>
      <c r="G127" s="22" t="s">
        <v>44</v>
      </c>
      <c r="H127" s="22"/>
      <c r="I127" s="23">
        <v>32600</v>
      </c>
      <c r="J127" s="23">
        <v>32000</v>
      </c>
      <c r="K127" s="23">
        <f>I127-J127</f>
        <v>600</v>
      </c>
      <c r="L127" s="93"/>
      <c r="M127" s="188"/>
      <c r="N127" s="189"/>
      <c r="O127" s="25">
        <f>I127-J127-K127</f>
        <v>0</v>
      </c>
      <c r="P127" s="26">
        <f>J127/I127*100</f>
        <v>98.159509202453989</v>
      </c>
      <c r="Q127" s="331"/>
      <c r="R127" s="331"/>
      <c r="S127" s="15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s="2" customFormat="1" ht="18.75" x14ac:dyDescent="0.25">
      <c r="A128" s="175" t="s">
        <v>123</v>
      </c>
      <c r="B128" s="22" t="s">
        <v>9</v>
      </c>
      <c r="C128" s="22" t="s">
        <v>68</v>
      </c>
      <c r="D128" s="22" t="s">
        <v>69</v>
      </c>
      <c r="E128" s="22" t="s">
        <v>70</v>
      </c>
      <c r="F128" s="22" t="s">
        <v>63</v>
      </c>
      <c r="G128" s="22" t="s">
        <v>124</v>
      </c>
      <c r="H128" s="22"/>
      <c r="I128" s="23">
        <v>7500</v>
      </c>
      <c r="J128" s="34">
        <v>4900</v>
      </c>
      <c r="K128" s="23">
        <f t="shared" ref="K128:K132" si="67">I128-J128</f>
        <v>2600</v>
      </c>
      <c r="L128" s="93"/>
      <c r="M128" s="188"/>
      <c r="N128" s="189"/>
      <c r="O128" s="25">
        <f t="shared" ref="O128:O140" si="68">I128-J128-K128</f>
        <v>0</v>
      </c>
      <c r="P128" s="26">
        <f>J128/I128*100</f>
        <v>65.333333333333329</v>
      </c>
      <c r="Q128" s="338"/>
      <c r="R128" s="339"/>
      <c r="S128" s="15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s="2" customFormat="1" ht="37.5" x14ac:dyDescent="0.25">
      <c r="A129" s="175" t="s">
        <v>106</v>
      </c>
      <c r="B129" s="22" t="s">
        <v>9</v>
      </c>
      <c r="C129" s="22" t="s">
        <v>68</v>
      </c>
      <c r="D129" s="22" t="s">
        <v>69</v>
      </c>
      <c r="E129" s="22" t="s">
        <v>70</v>
      </c>
      <c r="F129" s="22" t="s">
        <v>63</v>
      </c>
      <c r="G129" s="22" t="s">
        <v>101</v>
      </c>
      <c r="H129" s="22"/>
      <c r="I129" s="23">
        <v>2500</v>
      </c>
      <c r="J129" s="34">
        <v>0</v>
      </c>
      <c r="K129" s="23">
        <f t="shared" si="67"/>
        <v>2500</v>
      </c>
      <c r="L129" s="93"/>
      <c r="M129" s="188"/>
      <c r="N129" s="189"/>
      <c r="O129" s="25">
        <f t="shared" si="68"/>
        <v>0</v>
      </c>
      <c r="P129" s="26">
        <v>0</v>
      </c>
      <c r="Q129" s="331"/>
      <c r="R129" s="33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s="2" customFormat="1" ht="18.75" x14ac:dyDescent="0.25">
      <c r="A130" s="175" t="s">
        <v>108</v>
      </c>
      <c r="B130" s="22" t="s">
        <v>9</v>
      </c>
      <c r="C130" s="22" t="s">
        <v>68</v>
      </c>
      <c r="D130" s="22" t="s">
        <v>69</v>
      </c>
      <c r="E130" s="22" t="s">
        <v>70</v>
      </c>
      <c r="F130" s="22" t="s">
        <v>63</v>
      </c>
      <c r="G130" s="22" t="s">
        <v>103</v>
      </c>
      <c r="H130" s="22"/>
      <c r="I130" s="23">
        <v>0</v>
      </c>
      <c r="J130" s="34">
        <v>0</v>
      </c>
      <c r="K130" s="23">
        <f t="shared" si="67"/>
        <v>0</v>
      </c>
      <c r="L130" s="93"/>
      <c r="M130" s="188"/>
      <c r="N130" s="189"/>
      <c r="O130" s="25">
        <f t="shared" si="68"/>
        <v>0</v>
      </c>
      <c r="P130" s="26"/>
      <c r="Q130" s="338"/>
      <c r="R130" s="339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s="2" customFormat="1" ht="37.5" customHeight="1" x14ac:dyDescent="0.25">
      <c r="A131" s="175" t="s">
        <v>109</v>
      </c>
      <c r="B131" s="22" t="s">
        <v>9</v>
      </c>
      <c r="C131" s="22" t="s">
        <v>68</v>
      </c>
      <c r="D131" s="22" t="s">
        <v>69</v>
      </c>
      <c r="E131" s="22" t="s">
        <v>70</v>
      </c>
      <c r="F131" s="22" t="s">
        <v>63</v>
      </c>
      <c r="G131" s="22" t="s">
        <v>104</v>
      </c>
      <c r="H131" s="22"/>
      <c r="I131" s="23">
        <v>12400</v>
      </c>
      <c r="J131" s="34">
        <v>0</v>
      </c>
      <c r="K131" s="23">
        <f t="shared" si="67"/>
        <v>12400</v>
      </c>
      <c r="L131" s="93"/>
      <c r="M131" s="188"/>
      <c r="N131" s="189"/>
      <c r="O131" s="25">
        <f t="shared" si="68"/>
        <v>0</v>
      </c>
      <c r="P131" s="26">
        <v>0</v>
      </c>
      <c r="Q131" s="331"/>
      <c r="R131" s="3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s="2" customFormat="1" ht="37.5" x14ac:dyDescent="0.25">
      <c r="A132" s="175" t="s">
        <v>110</v>
      </c>
      <c r="B132" s="22" t="s">
        <v>9</v>
      </c>
      <c r="C132" s="22" t="s">
        <v>68</v>
      </c>
      <c r="D132" s="22" t="s">
        <v>69</v>
      </c>
      <c r="E132" s="22" t="s">
        <v>70</v>
      </c>
      <c r="F132" s="22" t="s">
        <v>63</v>
      </c>
      <c r="G132" s="22" t="s">
        <v>105</v>
      </c>
      <c r="H132" s="22"/>
      <c r="I132" s="23">
        <v>10000</v>
      </c>
      <c r="J132" s="34">
        <v>7752</v>
      </c>
      <c r="K132" s="23">
        <f t="shared" si="67"/>
        <v>2248</v>
      </c>
      <c r="L132" s="93"/>
      <c r="M132" s="188"/>
      <c r="N132" s="189"/>
      <c r="O132" s="25">
        <f t="shared" si="68"/>
        <v>0</v>
      </c>
      <c r="P132" s="26">
        <f t="shared" ref="P132:P153" si="69">J132/I132*100</f>
        <v>77.52</v>
      </c>
      <c r="Q132" s="331"/>
      <c r="R132" s="33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s="2" customFormat="1" ht="82.5" hidden="1" customHeight="1" x14ac:dyDescent="0.25">
      <c r="A133" s="190" t="s">
        <v>125</v>
      </c>
      <c r="B133" s="41" t="s">
        <v>9</v>
      </c>
      <c r="C133" s="41" t="s">
        <v>12</v>
      </c>
      <c r="D133" s="41" t="s">
        <v>12</v>
      </c>
      <c r="E133" s="41" t="s">
        <v>126</v>
      </c>
      <c r="F133" s="41"/>
      <c r="G133" s="16"/>
      <c r="H133" s="16"/>
      <c r="I133" s="17">
        <f>I134+I135</f>
        <v>0</v>
      </c>
      <c r="J133" s="17">
        <f t="shared" ref="J133:K133" si="70">J134+J135</f>
        <v>0</v>
      </c>
      <c r="K133" s="17">
        <f t="shared" si="70"/>
        <v>0</v>
      </c>
      <c r="L133" s="69"/>
      <c r="M133" s="186"/>
      <c r="N133" s="187"/>
      <c r="O133" s="20">
        <f t="shared" si="68"/>
        <v>0</v>
      </c>
      <c r="P133" s="21" t="e">
        <f t="shared" si="69"/>
        <v>#DIV/0!</v>
      </c>
      <c r="Q133" s="321"/>
      <c r="R133" s="32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ht="18.75" hidden="1" x14ac:dyDescent="0.25">
      <c r="A134" s="175" t="s">
        <v>27</v>
      </c>
      <c r="B134" s="22" t="s">
        <v>9</v>
      </c>
      <c r="C134" s="22" t="s">
        <v>12</v>
      </c>
      <c r="D134" s="22" t="s">
        <v>12</v>
      </c>
      <c r="E134" s="43" t="s">
        <v>126</v>
      </c>
      <c r="F134" s="22" t="s">
        <v>63</v>
      </c>
      <c r="G134" s="22" t="s">
        <v>28</v>
      </c>
      <c r="H134" s="22"/>
      <c r="I134" s="121">
        <v>0</v>
      </c>
      <c r="J134" s="122">
        <v>0</v>
      </c>
      <c r="K134" s="35">
        <f>I134-J134</f>
        <v>0</v>
      </c>
      <c r="L134" s="57"/>
      <c r="M134" s="188"/>
      <c r="N134" s="189"/>
      <c r="O134" s="25">
        <f t="shared" si="68"/>
        <v>0</v>
      </c>
      <c r="P134" s="26" t="e">
        <f t="shared" si="69"/>
        <v>#DIV/0!</v>
      </c>
      <c r="Q134" s="325"/>
      <c r="R134" s="326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s="2" customFormat="1" ht="18.75" hidden="1" x14ac:dyDescent="0.25">
      <c r="A135" s="99" t="s">
        <v>31</v>
      </c>
      <c r="B135" s="22" t="s">
        <v>9</v>
      </c>
      <c r="C135" s="22" t="s">
        <v>12</v>
      </c>
      <c r="D135" s="22" t="s">
        <v>12</v>
      </c>
      <c r="E135" s="43" t="s">
        <v>126</v>
      </c>
      <c r="F135" s="22" t="s">
        <v>63</v>
      </c>
      <c r="G135" s="22" t="s">
        <v>32</v>
      </c>
      <c r="H135" s="22"/>
      <c r="I135" s="121">
        <v>0</v>
      </c>
      <c r="J135" s="122">
        <v>0</v>
      </c>
      <c r="K135" s="35">
        <f>I135-J135</f>
        <v>0</v>
      </c>
      <c r="L135" s="49"/>
      <c r="M135" s="188"/>
      <c r="N135" s="189"/>
      <c r="O135" s="25">
        <f t="shared" si="68"/>
        <v>0</v>
      </c>
      <c r="P135" s="26" t="e">
        <f t="shared" si="69"/>
        <v>#DIV/0!</v>
      </c>
      <c r="Q135" s="323"/>
      <c r="R135" s="3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s="2" customFormat="1" ht="65.25" customHeight="1" x14ac:dyDescent="0.25">
      <c r="A136" s="199" t="s">
        <v>142</v>
      </c>
      <c r="B136" s="104" t="s">
        <v>9</v>
      </c>
      <c r="C136" s="104" t="s">
        <v>68</v>
      </c>
      <c r="D136" s="104" t="s">
        <v>14</v>
      </c>
      <c r="E136" s="104" t="s">
        <v>137</v>
      </c>
      <c r="F136" s="104"/>
      <c r="G136" s="105"/>
      <c r="H136" s="105"/>
      <c r="I136" s="17">
        <f>I137</f>
        <v>40000</v>
      </c>
      <c r="J136" s="17">
        <f t="shared" ref="J136:K136" si="71">J137</f>
        <v>0</v>
      </c>
      <c r="K136" s="17">
        <f t="shared" si="71"/>
        <v>40000</v>
      </c>
      <c r="L136" s="115"/>
      <c r="M136" s="195"/>
      <c r="N136" s="196"/>
      <c r="O136" s="20">
        <f>I136-J136-K136</f>
        <v>0</v>
      </c>
      <c r="P136" s="21">
        <f t="shared" si="69"/>
        <v>0</v>
      </c>
      <c r="Q136" s="321"/>
      <c r="R136" s="32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s="2" customFormat="1" ht="49.5" customHeight="1" x14ac:dyDescent="0.25">
      <c r="A137" s="175" t="s">
        <v>109</v>
      </c>
      <c r="B137" s="112" t="s">
        <v>9</v>
      </c>
      <c r="C137" s="112" t="s">
        <v>68</v>
      </c>
      <c r="D137" s="112" t="s">
        <v>14</v>
      </c>
      <c r="E137" s="113" t="s">
        <v>137</v>
      </c>
      <c r="F137" s="112" t="s">
        <v>63</v>
      </c>
      <c r="G137" s="112" t="s">
        <v>104</v>
      </c>
      <c r="H137" s="112"/>
      <c r="I137" s="23">
        <v>40000</v>
      </c>
      <c r="J137" s="34">
        <v>0</v>
      </c>
      <c r="K137" s="35">
        <f t="shared" ref="K137:K139" si="72">I137-J137</f>
        <v>40000</v>
      </c>
      <c r="L137" s="114"/>
      <c r="M137" s="188"/>
      <c r="N137" s="189"/>
      <c r="O137" s="25">
        <f t="shared" si="68"/>
        <v>0</v>
      </c>
      <c r="P137" s="26">
        <f t="shared" si="69"/>
        <v>0</v>
      </c>
      <c r="Q137" s="323"/>
      <c r="R137" s="3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s="2" customFormat="1" ht="60" hidden="1" customHeight="1" x14ac:dyDescent="0.25">
      <c r="A138" s="199" t="s">
        <v>143</v>
      </c>
      <c r="B138" s="104" t="s">
        <v>9</v>
      </c>
      <c r="C138" s="104" t="s">
        <v>12</v>
      </c>
      <c r="D138" s="104" t="s">
        <v>14</v>
      </c>
      <c r="E138" s="104" t="s">
        <v>138</v>
      </c>
      <c r="F138" s="104"/>
      <c r="G138" s="104"/>
      <c r="H138" s="104"/>
      <c r="I138" s="106">
        <f>I139</f>
        <v>0</v>
      </c>
      <c r="J138" s="106">
        <f t="shared" ref="J138:K138" si="73">J139</f>
        <v>0</v>
      </c>
      <c r="K138" s="106">
        <f t="shared" si="73"/>
        <v>0</v>
      </c>
      <c r="L138" s="115"/>
      <c r="M138" s="195"/>
      <c r="N138" s="196"/>
      <c r="O138" s="20">
        <f>I138-J138-K138</f>
        <v>0</v>
      </c>
      <c r="P138" s="21" t="e">
        <f t="shared" si="69"/>
        <v>#DIV/0!</v>
      </c>
      <c r="Q138" s="321"/>
      <c r="R138" s="32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s="2" customFormat="1" ht="27.75" hidden="1" customHeight="1" x14ac:dyDescent="0.25">
      <c r="A139" s="99" t="s">
        <v>47</v>
      </c>
      <c r="B139" s="112" t="s">
        <v>9</v>
      </c>
      <c r="C139" s="112" t="s">
        <v>12</v>
      </c>
      <c r="D139" s="112" t="s">
        <v>14</v>
      </c>
      <c r="E139" s="113" t="s">
        <v>138</v>
      </c>
      <c r="F139" s="112" t="s">
        <v>63</v>
      </c>
      <c r="G139" s="112" t="s">
        <v>48</v>
      </c>
      <c r="H139" s="112"/>
      <c r="I139" s="118">
        <v>0</v>
      </c>
      <c r="J139" s="158">
        <v>0</v>
      </c>
      <c r="K139" s="118">
        <f t="shared" si="72"/>
        <v>0</v>
      </c>
      <c r="L139" s="114"/>
      <c r="M139" s="188"/>
      <c r="N139" s="189"/>
      <c r="O139" s="119">
        <f t="shared" si="68"/>
        <v>0</v>
      </c>
      <c r="P139" s="120" t="e">
        <f t="shared" si="69"/>
        <v>#DIV/0!</v>
      </c>
      <c r="Q139" s="323"/>
      <c r="R139" s="32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s="2" customFormat="1" ht="82.5" hidden="1" customHeight="1" x14ac:dyDescent="0.25">
      <c r="A140" s="190" t="s">
        <v>127</v>
      </c>
      <c r="B140" s="104" t="s">
        <v>9</v>
      </c>
      <c r="C140" s="104" t="s">
        <v>12</v>
      </c>
      <c r="D140" s="104" t="s">
        <v>85</v>
      </c>
      <c r="E140" s="104" t="s">
        <v>86</v>
      </c>
      <c r="F140" s="104"/>
      <c r="G140" s="105"/>
      <c r="H140" s="105"/>
      <c r="I140" s="106">
        <f>I141+I142</f>
        <v>0</v>
      </c>
      <c r="J140" s="106">
        <f>J141+J142</f>
        <v>0</v>
      </c>
      <c r="K140" s="106">
        <f>K141+K142</f>
        <v>0</v>
      </c>
      <c r="L140" s="106">
        <f t="shared" ref="L140:N140" si="74">L141</f>
        <v>0</v>
      </c>
      <c r="M140" s="106">
        <f t="shared" si="74"/>
        <v>0</v>
      </c>
      <c r="N140" s="106">
        <f t="shared" si="74"/>
        <v>0</v>
      </c>
      <c r="O140" s="107">
        <f t="shared" si="68"/>
        <v>0</v>
      </c>
      <c r="P140" s="108" t="e">
        <f t="shared" si="69"/>
        <v>#DIV/0!</v>
      </c>
      <c r="Q140" s="321"/>
      <c r="R140" s="32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s="2" customFormat="1" ht="18.75" hidden="1" x14ac:dyDescent="0.25">
      <c r="A141" s="175" t="s">
        <v>41</v>
      </c>
      <c r="B141" s="22" t="s">
        <v>9</v>
      </c>
      <c r="C141" s="22" t="s">
        <v>12</v>
      </c>
      <c r="D141" s="22" t="s">
        <v>85</v>
      </c>
      <c r="E141" s="22" t="s">
        <v>86</v>
      </c>
      <c r="F141" s="22" t="s">
        <v>63</v>
      </c>
      <c r="G141" s="22" t="s">
        <v>42</v>
      </c>
      <c r="H141" s="22"/>
      <c r="I141" s="121"/>
      <c r="J141" s="121"/>
      <c r="K141" s="23">
        <f>I141-J141</f>
        <v>0</v>
      </c>
      <c r="L141" s="109"/>
      <c r="M141" s="110"/>
      <c r="N141" s="111"/>
      <c r="O141" s="25">
        <f>I141-J141-K141</f>
        <v>0</v>
      </c>
      <c r="P141" s="26" t="e">
        <f t="shared" si="69"/>
        <v>#DIV/0!</v>
      </c>
      <c r="Q141" s="323"/>
      <c r="R141" s="32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" customFormat="1" ht="18.75" hidden="1" x14ac:dyDescent="0.25">
      <c r="A142" s="99" t="s">
        <v>47</v>
      </c>
      <c r="B142" s="22" t="s">
        <v>9</v>
      </c>
      <c r="C142" s="22" t="s">
        <v>12</v>
      </c>
      <c r="D142" s="22" t="s">
        <v>85</v>
      </c>
      <c r="E142" s="22" t="s">
        <v>86</v>
      </c>
      <c r="F142" s="22" t="s">
        <v>63</v>
      </c>
      <c r="G142" s="22" t="s">
        <v>48</v>
      </c>
      <c r="H142" s="22"/>
      <c r="I142" s="121"/>
      <c r="J142" s="121">
        <v>0</v>
      </c>
      <c r="K142" s="23">
        <f>I142-J142</f>
        <v>0</v>
      </c>
      <c r="L142" s="109"/>
      <c r="M142" s="110"/>
      <c r="N142" s="111"/>
      <c r="O142" s="25">
        <f t="shared" ref="O142" si="75">I142-J142-K142</f>
        <v>0</v>
      </c>
      <c r="P142" s="26" t="e">
        <f t="shared" si="69"/>
        <v>#DIV/0!</v>
      </c>
      <c r="Q142" s="256"/>
      <c r="R142" s="257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" customFormat="1" ht="60" hidden="1" customHeight="1" x14ac:dyDescent="0.25">
      <c r="A143" s="40" t="s">
        <v>139</v>
      </c>
      <c r="B143" s="104" t="s">
        <v>9</v>
      </c>
      <c r="C143" s="104" t="s">
        <v>12</v>
      </c>
      <c r="D143" s="104" t="s">
        <v>14</v>
      </c>
      <c r="E143" s="104" t="s">
        <v>135</v>
      </c>
      <c r="F143" s="104"/>
      <c r="G143" s="104"/>
      <c r="H143" s="104"/>
      <c r="I143" s="106">
        <f>I144</f>
        <v>0</v>
      </c>
      <c r="J143" s="106">
        <f t="shared" ref="J143:K143" si="76">J144</f>
        <v>0</v>
      </c>
      <c r="K143" s="106">
        <f t="shared" si="76"/>
        <v>0</v>
      </c>
      <c r="L143" s="115"/>
      <c r="M143" s="195"/>
      <c r="N143" s="196"/>
      <c r="O143" s="20">
        <f>I143-J143-K143</f>
        <v>0</v>
      </c>
      <c r="P143" s="21" t="e">
        <f t="shared" si="69"/>
        <v>#DIV/0!</v>
      </c>
      <c r="Q143" s="321"/>
      <c r="R143" s="322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s="2" customFormat="1" ht="10.5" hidden="1" customHeight="1" x14ac:dyDescent="0.25">
      <c r="A144" s="99" t="s">
        <v>47</v>
      </c>
      <c r="B144" s="112" t="s">
        <v>9</v>
      </c>
      <c r="C144" s="112" t="s">
        <v>12</v>
      </c>
      <c r="D144" s="112" t="s">
        <v>14</v>
      </c>
      <c r="E144" s="105" t="s">
        <v>144</v>
      </c>
      <c r="F144" s="112" t="s">
        <v>63</v>
      </c>
      <c r="G144" s="112" t="s">
        <v>48</v>
      </c>
      <c r="H144" s="112"/>
      <c r="I144" s="123">
        <v>0</v>
      </c>
      <c r="J144" s="124">
        <v>0</v>
      </c>
      <c r="K144" s="118">
        <f t="shared" ref="K144" si="77">I144-J144</f>
        <v>0</v>
      </c>
      <c r="L144" s="114"/>
      <c r="M144" s="188"/>
      <c r="N144" s="189"/>
      <c r="O144" s="119">
        <f t="shared" ref="O144:O146" si="78">I144-J144-K144</f>
        <v>0</v>
      </c>
      <c r="P144" s="120" t="e">
        <f t="shared" si="69"/>
        <v>#DIV/0!</v>
      </c>
      <c r="Q144" s="323"/>
      <c r="R144" s="32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16.25" customHeight="1" x14ac:dyDescent="0.25">
      <c r="A145" s="190" t="s">
        <v>154</v>
      </c>
      <c r="B145" s="41" t="s">
        <v>9</v>
      </c>
      <c r="C145" s="41" t="s">
        <v>12</v>
      </c>
      <c r="D145" s="41" t="s">
        <v>14</v>
      </c>
      <c r="E145" s="41" t="s">
        <v>155</v>
      </c>
      <c r="F145" s="41"/>
      <c r="G145" s="41"/>
      <c r="H145" s="41"/>
      <c r="I145" s="17">
        <f>I146</f>
        <v>9742.86</v>
      </c>
      <c r="J145" s="55">
        <f>J146</f>
        <v>2675.58</v>
      </c>
      <c r="K145" s="55">
        <f>I145-J145</f>
        <v>7067.2800000000007</v>
      </c>
      <c r="L145" s="18" t="e">
        <f>L146</f>
        <v>#REF!</v>
      </c>
      <c r="M145" s="186"/>
      <c r="N145" s="187"/>
      <c r="O145" s="20">
        <f t="shared" si="78"/>
        <v>0</v>
      </c>
      <c r="P145" s="21">
        <f>J145/I145*100</f>
        <v>27.461956756024406</v>
      </c>
      <c r="Q145" s="331"/>
      <c r="R145" s="331"/>
      <c r="S145" s="15"/>
    </row>
    <row r="146" spans="1:50" ht="18.75" x14ac:dyDescent="0.25">
      <c r="A146" s="99" t="s">
        <v>113</v>
      </c>
      <c r="B146" s="22" t="s">
        <v>9</v>
      </c>
      <c r="C146" s="22" t="s">
        <v>12</v>
      </c>
      <c r="D146" s="22" t="s">
        <v>14</v>
      </c>
      <c r="E146" s="22" t="s">
        <v>155</v>
      </c>
      <c r="F146" s="22" t="s">
        <v>63</v>
      </c>
      <c r="G146" s="22" t="s">
        <v>114</v>
      </c>
      <c r="H146" s="22"/>
      <c r="I146" s="23">
        <v>9742.86</v>
      </c>
      <c r="J146" s="34">
        <v>2675.58</v>
      </c>
      <c r="K146" s="34">
        <f>I146-J146</f>
        <v>7067.2800000000007</v>
      </c>
      <c r="L146" s="24" t="e">
        <f>#REF!</f>
        <v>#REF!</v>
      </c>
      <c r="M146" s="184"/>
      <c r="N146" s="185"/>
      <c r="O146" s="25">
        <f t="shared" si="78"/>
        <v>0</v>
      </c>
      <c r="P146" s="26">
        <f>J146/I146*100</f>
        <v>27.461956756024406</v>
      </c>
      <c r="Q146" s="331"/>
      <c r="R146" s="331"/>
      <c r="Z146" s="15"/>
      <c r="AA146" s="15"/>
      <c r="AB146" s="15"/>
      <c r="AC146" s="15"/>
      <c r="AD146" s="15"/>
    </row>
    <row r="147" spans="1:50" s="2" customFormat="1" ht="60" customHeight="1" x14ac:dyDescent="0.25">
      <c r="A147" s="199" t="s">
        <v>145</v>
      </c>
      <c r="B147" s="104" t="s">
        <v>9</v>
      </c>
      <c r="C147" s="104" t="s">
        <v>12</v>
      </c>
      <c r="D147" s="104" t="s">
        <v>12</v>
      </c>
      <c r="E147" s="104" t="s">
        <v>126</v>
      </c>
      <c r="F147" s="104"/>
      <c r="G147" s="104"/>
      <c r="H147" s="104"/>
      <c r="I147" s="106">
        <f>I148+I149</f>
        <v>130000</v>
      </c>
      <c r="J147" s="106">
        <f>J149+J148</f>
        <v>130000</v>
      </c>
      <c r="K147" s="106">
        <f>K149+K148</f>
        <v>0</v>
      </c>
      <c r="L147" s="115"/>
      <c r="M147" s="195"/>
      <c r="N147" s="196"/>
      <c r="O147" s="20">
        <f>I147-J147-K147</f>
        <v>0</v>
      </c>
      <c r="P147" s="21">
        <f t="shared" si="69"/>
        <v>100</v>
      </c>
      <c r="Q147" s="321"/>
      <c r="R147" s="322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3" customHeight="1" x14ac:dyDescent="0.25">
      <c r="A148" s="194" t="s">
        <v>27</v>
      </c>
      <c r="B148" s="112" t="s">
        <v>9</v>
      </c>
      <c r="C148" s="112" t="s">
        <v>12</v>
      </c>
      <c r="D148" s="112" t="s">
        <v>12</v>
      </c>
      <c r="E148" s="112" t="s">
        <v>126</v>
      </c>
      <c r="F148" s="112" t="s">
        <v>63</v>
      </c>
      <c r="G148" s="112" t="s">
        <v>28</v>
      </c>
      <c r="H148" s="129"/>
      <c r="I148" s="116">
        <v>99846.39</v>
      </c>
      <c r="J148" s="117">
        <v>99846.39</v>
      </c>
      <c r="K148" s="116">
        <f>I148-J148</f>
        <v>0</v>
      </c>
      <c r="L148" s="131"/>
      <c r="M148" s="184"/>
      <c r="N148" s="185"/>
      <c r="O148" s="119">
        <f t="shared" ref="O148:O149" si="79">I148-J148-K148</f>
        <v>0</v>
      </c>
      <c r="P148" s="120">
        <f t="shared" si="69"/>
        <v>100</v>
      </c>
      <c r="Q148" s="325"/>
      <c r="R148" s="326"/>
    </row>
    <row r="149" spans="1:50" s="2" customFormat="1" ht="27.75" customHeight="1" x14ac:dyDescent="0.25">
      <c r="A149" s="175" t="s">
        <v>31</v>
      </c>
      <c r="B149" s="112" t="s">
        <v>9</v>
      </c>
      <c r="C149" s="112" t="s">
        <v>12</v>
      </c>
      <c r="D149" s="112" t="s">
        <v>12</v>
      </c>
      <c r="E149" s="112" t="s">
        <v>126</v>
      </c>
      <c r="F149" s="112" t="s">
        <v>63</v>
      </c>
      <c r="G149" s="112" t="s">
        <v>32</v>
      </c>
      <c r="H149" s="112"/>
      <c r="I149" s="116">
        <v>30153.61</v>
      </c>
      <c r="J149" s="117">
        <v>30153.61</v>
      </c>
      <c r="K149" s="116">
        <f>I149-J149</f>
        <v>0</v>
      </c>
      <c r="L149" s="131"/>
      <c r="M149" s="182"/>
      <c r="N149" s="183"/>
      <c r="O149" s="119">
        <f t="shared" si="79"/>
        <v>0</v>
      </c>
      <c r="P149" s="120">
        <f t="shared" si="69"/>
        <v>100</v>
      </c>
      <c r="Q149" s="323"/>
      <c r="R149" s="3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" customFormat="1" ht="60" hidden="1" customHeight="1" x14ac:dyDescent="0.25">
      <c r="A150" s="199" t="s">
        <v>148</v>
      </c>
      <c r="B150" s="104" t="s">
        <v>9</v>
      </c>
      <c r="C150" s="104" t="s">
        <v>12</v>
      </c>
      <c r="D150" s="104" t="s">
        <v>85</v>
      </c>
      <c r="E150" s="104" t="s">
        <v>147</v>
      </c>
      <c r="F150" s="104"/>
      <c r="G150" s="104"/>
      <c r="H150" s="104"/>
      <c r="I150" s="106">
        <f>I151</f>
        <v>0</v>
      </c>
      <c r="J150" s="106">
        <f t="shared" ref="J150:K152" si="80">J151</f>
        <v>0</v>
      </c>
      <c r="K150" s="106">
        <f t="shared" si="80"/>
        <v>0</v>
      </c>
      <c r="L150" s="115"/>
      <c r="M150" s="195"/>
      <c r="N150" s="196"/>
      <c r="O150" s="20">
        <f>I150-J150-K150</f>
        <v>0</v>
      </c>
      <c r="P150" s="21" t="e">
        <f t="shared" si="69"/>
        <v>#DIV/0!</v>
      </c>
      <c r="Q150" s="321"/>
      <c r="R150" s="32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" customFormat="1" ht="27.75" hidden="1" customHeight="1" x14ac:dyDescent="0.25">
      <c r="A151" s="99" t="s">
        <v>43</v>
      </c>
      <c r="B151" s="112" t="s">
        <v>9</v>
      </c>
      <c r="C151" s="112" t="s">
        <v>12</v>
      </c>
      <c r="D151" s="112" t="s">
        <v>85</v>
      </c>
      <c r="E151" s="105" t="s">
        <v>147</v>
      </c>
      <c r="F151" s="112" t="s">
        <v>63</v>
      </c>
      <c r="G151" s="112" t="s">
        <v>44</v>
      </c>
      <c r="H151" s="112"/>
      <c r="I151" s="118">
        <v>0</v>
      </c>
      <c r="J151" s="158">
        <v>0</v>
      </c>
      <c r="K151" s="118">
        <f t="shared" ref="K151" si="81">I151-J151</f>
        <v>0</v>
      </c>
      <c r="L151" s="114"/>
      <c r="M151" s="188"/>
      <c r="N151" s="189"/>
      <c r="O151" s="119">
        <f t="shared" ref="O151" si="82">I151-J151-K151</f>
        <v>0</v>
      </c>
      <c r="P151" s="120" t="e">
        <f t="shared" si="69"/>
        <v>#DIV/0!</v>
      </c>
      <c r="Q151" s="323"/>
      <c r="R151" s="32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" customFormat="1" ht="41.25" customHeight="1" x14ac:dyDescent="0.25">
      <c r="A152" s="199" t="s">
        <v>161</v>
      </c>
      <c r="B152" s="104" t="s">
        <v>9</v>
      </c>
      <c r="C152" s="104" t="s">
        <v>12</v>
      </c>
      <c r="D152" s="104" t="s">
        <v>85</v>
      </c>
      <c r="E152" s="104" t="s">
        <v>162</v>
      </c>
      <c r="F152" s="104" t="s">
        <v>63</v>
      </c>
      <c r="G152" s="104" t="s">
        <v>42</v>
      </c>
      <c r="H152" s="104"/>
      <c r="I152" s="106">
        <f>I153</f>
        <v>63000</v>
      </c>
      <c r="J152" s="106">
        <f t="shared" si="80"/>
        <v>63000</v>
      </c>
      <c r="K152" s="106">
        <f t="shared" si="80"/>
        <v>0</v>
      </c>
      <c r="L152" s="115"/>
      <c r="M152" s="195"/>
      <c r="N152" s="196"/>
      <c r="O152" s="20">
        <f>I152-J152-K152</f>
        <v>0</v>
      </c>
      <c r="P152" s="21">
        <f t="shared" si="69"/>
        <v>100</v>
      </c>
      <c r="Q152" s="321"/>
      <c r="R152" s="32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" customFormat="1" ht="27.75" customHeight="1" x14ac:dyDescent="0.25">
      <c r="A153" s="99" t="s">
        <v>43</v>
      </c>
      <c r="B153" s="112" t="s">
        <v>9</v>
      </c>
      <c r="C153" s="112" t="s">
        <v>12</v>
      </c>
      <c r="D153" s="112" t="s">
        <v>85</v>
      </c>
      <c r="E153" s="113" t="s">
        <v>162</v>
      </c>
      <c r="F153" s="112" t="s">
        <v>63</v>
      </c>
      <c r="G153" s="112" t="s">
        <v>42</v>
      </c>
      <c r="H153" s="112"/>
      <c r="I153" s="116">
        <v>63000</v>
      </c>
      <c r="J153" s="117">
        <v>63000</v>
      </c>
      <c r="K153" s="118">
        <f t="shared" ref="K153" si="83">I153-J153</f>
        <v>0</v>
      </c>
      <c r="L153" s="114"/>
      <c r="M153" s="188"/>
      <c r="N153" s="189"/>
      <c r="O153" s="119">
        <f>I153-J153-K153</f>
        <v>0</v>
      </c>
      <c r="P153" s="120">
        <f t="shared" si="69"/>
        <v>100</v>
      </c>
      <c r="Q153" s="323"/>
      <c r="R153" s="32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" customFormat="1" ht="22.5" customHeight="1" x14ac:dyDescent="0.3">
      <c r="A154" s="333" t="s">
        <v>71</v>
      </c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5"/>
      <c r="Q154" s="336"/>
      <c r="R154" s="337"/>
    </row>
    <row r="155" spans="1:50" ht="78" x14ac:dyDescent="0.25">
      <c r="A155" s="51" t="s">
        <v>8</v>
      </c>
      <c r="B155" s="52" t="s">
        <v>9</v>
      </c>
      <c r="C155" s="52"/>
      <c r="D155" s="52"/>
      <c r="E155" s="52"/>
      <c r="F155" s="52"/>
      <c r="G155" s="52"/>
      <c r="H155" s="52"/>
      <c r="I155" s="53">
        <f>I156+I167+I163+I171+I173+I178+I181+I184+I159+I161</f>
        <v>17139524.57</v>
      </c>
      <c r="J155" s="53">
        <f>J156+J167+J163+J173+J178+J171+J181+J184+J159+J161</f>
        <v>9527326.7599999998</v>
      </c>
      <c r="K155" s="53">
        <f>K156+K167+K163+K171+K173+K178+K181+K184+K159+K161</f>
        <v>7612197.8100000015</v>
      </c>
      <c r="L155" s="53" t="e">
        <f>L156+L167</f>
        <v>#REF!</v>
      </c>
      <c r="M155" s="53" t="e">
        <f>M156+M167</f>
        <v>#REF!</v>
      </c>
      <c r="N155" s="53" t="e">
        <f>N156+N167</f>
        <v>#REF!</v>
      </c>
      <c r="O155" s="53">
        <f>I155-J155-K155</f>
        <v>0</v>
      </c>
      <c r="P155" s="53">
        <f>(P156+P167)/2</f>
        <v>61.946255738581641</v>
      </c>
      <c r="Q155" s="331"/>
      <c r="R155" s="331"/>
    </row>
    <row r="156" spans="1:50" ht="24" customHeight="1" x14ac:dyDescent="0.25">
      <c r="A156" s="173" t="s">
        <v>11</v>
      </c>
      <c r="B156" s="8" t="s">
        <v>9</v>
      </c>
      <c r="C156" s="8" t="s">
        <v>12</v>
      </c>
      <c r="D156" s="8"/>
      <c r="E156" s="8"/>
      <c r="F156" s="8"/>
      <c r="G156" s="8"/>
      <c r="H156" s="8"/>
      <c r="I156" s="264">
        <f>I157</f>
        <v>248300</v>
      </c>
      <c r="J156" s="9">
        <f t="shared" ref="J156:N156" si="84">J157</f>
        <v>167455.26</v>
      </c>
      <c r="K156" s="9">
        <f t="shared" ref="K156:K162" si="85">I156-J156</f>
        <v>80844.739999999991</v>
      </c>
      <c r="L156" s="9" t="e">
        <f t="shared" si="84"/>
        <v>#REF!</v>
      </c>
      <c r="M156" s="9">
        <f t="shared" si="84"/>
        <v>0</v>
      </c>
      <c r="N156" s="9">
        <f t="shared" si="84"/>
        <v>0</v>
      </c>
      <c r="O156" s="9">
        <f t="shared" ref="O156:O176" si="86">I156-J156-K156</f>
        <v>0</v>
      </c>
      <c r="P156" s="12">
        <f t="shared" ref="P156:P165" si="87">J156/I156*100</f>
        <v>67.440700765203388</v>
      </c>
      <c r="Q156" s="331"/>
      <c r="R156" s="331"/>
    </row>
    <row r="157" spans="1:50" ht="102.75" customHeight="1" x14ac:dyDescent="0.25">
      <c r="A157" s="190" t="s">
        <v>153</v>
      </c>
      <c r="B157" s="41" t="s">
        <v>9</v>
      </c>
      <c r="C157" s="41" t="s">
        <v>12</v>
      </c>
      <c r="D157" s="41" t="s">
        <v>14</v>
      </c>
      <c r="E157" s="41" t="s">
        <v>72</v>
      </c>
      <c r="F157" s="41"/>
      <c r="G157" s="41"/>
      <c r="H157" s="41"/>
      <c r="I157" s="17">
        <f>I158</f>
        <v>248300</v>
      </c>
      <c r="J157" s="55">
        <f>J158</f>
        <v>167455.26</v>
      </c>
      <c r="K157" s="55">
        <f t="shared" si="85"/>
        <v>80844.739999999991</v>
      </c>
      <c r="L157" s="18" t="e">
        <f>L158</f>
        <v>#REF!</v>
      </c>
      <c r="M157" s="186"/>
      <c r="N157" s="187"/>
      <c r="O157" s="20">
        <f t="shared" si="86"/>
        <v>0</v>
      </c>
      <c r="P157" s="21">
        <f t="shared" si="87"/>
        <v>67.440700765203388</v>
      </c>
      <c r="Q157" s="331"/>
      <c r="R157" s="331"/>
      <c r="S157" s="15"/>
    </row>
    <row r="158" spans="1:50" ht="18.75" x14ac:dyDescent="0.25">
      <c r="A158" s="99" t="s">
        <v>113</v>
      </c>
      <c r="B158" s="22" t="s">
        <v>9</v>
      </c>
      <c r="C158" s="22" t="s">
        <v>12</v>
      </c>
      <c r="D158" s="22" t="s">
        <v>14</v>
      </c>
      <c r="E158" s="43" t="s">
        <v>72</v>
      </c>
      <c r="F158" s="22" t="s">
        <v>63</v>
      </c>
      <c r="G158" s="22" t="s">
        <v>114</v>
      </c>
      <c r="H158" s="22"/>
      <c r="I158" s="23">
        <v>248300</v>
      </c>
      <c r="J158" s="34">
        <v>167455.26</v>
      </c>
      <c r="K158" s="34">
        <f t="shared" si="85"/>
        <v>80844.739999999991</v>
      </c>
      <c r="L158" s="24" t="e">
        <f>#REF!</f>
        <v>#REF!</v>
      </c>
      <c r="M158" s="184"/>
      <c r="N158" s="185"/>
      <c r="O158" s="25">
        <f t="shared" si="86"/>
        <v>0</v>
      </c>
      <c r="P158" s="26">
        <f t="shared" si="87"/>
        <v>67.440700765203388</v>
      </c>
      <c r="Q158" s="331"/>
      <c r="R158" s="331"/>
      <c r="Z158" s="15"/>
      <c r="AA158" s="15"/>
      <c r="AB158" s="15"/>
      <c r="AC158" s="15"/>
      <c r="AD158" s="15"/>
    </row>
    <row r="159" spans="1:50" ht="131.25" customHeight="1" x14ac:dyDescent="0.25">
      <c r="A159" s="190" t="s">
        <v>154</v>
      </c>
      <c r="B159" s="41" t="s">
        <v>9</v>
      </c>
      <c r="C159" s="41" t="s">
        <v>12</v>
      </c>
      <c r="D159" s="41" t="s">
        <v>14</v>
      </c>
      <c r="E159" s="41" t="s">
        <v>159</v>
      </c>
      <c r="F159" s="41"/>
      <c r="G159" s="41"/>
      <c r="H159" s="41"/>
      <c r="I159" s="17">
        <f>I160</f>
        <v>477400</v>
      </c>
      <c r="J159" s="55">
        <f>J160</f>
        <v>172584.1</v>
      </c>
      <c r="K159" s="55">
        <f t="shared" si="85"/>
        <v>304815.90000000002</v>
      </c>
      <c r="L159" s="18" t="e">
        <f>L160</f>
        <v>#REF!</v>
      </c>
      <c r="M159" s="186"/>
      <c r="N159" s="187"/>
      <c r="O159" s="20">
        <f t="shared" si="86"/>
        <v>0</v>
      </c>
      <c r="P159" s="21">
        <f t="shared" si="87"/>
        <v>36.150837871805614</v>
      </c>
      <c r="Q159" s="331"/>
      <c r="R159" s="331"/>
      <c r="S159" s="15"/>
    </row>
    <row r="160" spans="1:50" ht="18.75" x14ac:dyDescent="0.25">
      <c r="A160" s="99" t="s">
        <v>113</v>
      </c>
      <c r="B160" s="22" t="s">
        <v>9</v>
      </c>
      <c r="C160" s="22" t="s">
        <v>12</v>
      </c>
      <c r="D160" s="22" t="s">
        <v>14</v>
      </c>
      <c r="E160" s="43" t="s">
        <v>159</v>
      </c>
      <c r="F160" s="22" t="s">
        <v>63</v>
      </c>
      <c r="G160" s="22" t="s">
        <v>114</v>
      </c>
      <c r="H160" s="22"/>
      <c r="I160" s="23">
        <v>477400</v>
      </c>
      <c r="J160" s="34">
        <v>172584.1</v>
      </c>
      <c r="K160" s="34">
        <f t="shared" si="85"/>
        <v>304815.90000000002</v>
      </c>
      <c r="L160" s="24" t="e">
        <f>#REF!</f>
        <v>#REF!</v>
      </c>
      <c r="M160" s="184"/>
      <c r="N160" s="185"/>
      <c r="O160" s="25">
        <f t="shared" si="86"/>
        <v>0</v>
      </c>
      <c r="P160" s="26">
        <f t="shared" si="87"/>
        <v>36.150837871805614</v>
      </c>
      <c r="Q160" s="331"/>
      <c r="R160" s="331"/>
      <c r="Z160" s="15"/>
      <c r="AA160" s="15"/>
      <c r="AB160" s="15"/>
      <c r="AC160" s="15"/>
      <c r="AD160" s="15"/>
    </row>
    <row r="161" spans="1:50" ht="117.75" customHeight="1" x14ac:dyDescent="0.25">
      <c r="A161" s="190" t="s">
        <v>154</v>
      </c>
      <c r="B161" s="41" t="s">
        <v>9</v>
      </c>
      <c r="C161" s="41" t="s">
        <v>12</v>
      </c>
      <c r="D161" s="41" t="s">
        <v>14</v>
      </c>
      <c r="E161" s="41" t="s">
        <v>160</v>
      </c>
      <c r="F161" s="41"/>
      <c r="G161" s="41"/>
      <c r="H161" s="41"/>
      <c r="I161" s="17">
        <f>I162</f>
        <v>4563328.57</v>
      </c>
      <c r="J161" s="55">
        <f>J162</f>
        <v>1665316.59</v>
      </c>
      <c r="K161" s="55">
        <f t="shared" si="85"/>
        <v>2898011.9800000004</v>
      </c>
      <c r="L161" s="18" t="e">
        <f>L162</f>
        <v>#REF!</v>
      </c>
      <c r="M161" s="186"/>
      <c r="N161" s="187"/>
      <c r="O161" s="20">
        <f t="shared" si="86"/>
        <v>0</v>
      </c>
      <c r="P161" s="21">
        <f t="shared" si="87"/>
        <v>36.493462271115838</v>
      </c>
      <c r="Q161" s="331"/>
      <c r="R161" s="331"/>
      <c r="S161" s="15"/>
    </row>
    <row r="162" spans="1:50" ht="18.75" x14ac:dyDescent="0.25">
      <c r="A162" s="99" t="s">
        <v>113</v>
      </c>
      <c r="B162" s="22" t="s">
        <v>9</v>
      </c>
      <c r="C162" s="22" t="s">
        <v>12</v>
      </c>
      <c r="D162" s="22" t="s">
        <v>14</v>
      </c>
      <c r="E162" s="43" t="s">
        <v>160</v>
      </c>
      <c r="F162" s="22" t="s">
        <v>22</v>
      </c>
      <c r="G162" s="22" t="s">
        <v>114</v>
      </c>
      <c r="H162" s="22"/>
      <c r="I162" s="23">
        <v>4563328.57</v>
      </c>
      <c r="J162" s="34">
        <v>1665316.59</v>
      </c>
      <c r="K162" s="34">
        <f t="shared" si="85"/>
        <v>2898011.9800000004</v>
      </c>
      <c r="L162" s="24" t="e">
        <f>#REF!</f>
        <v>#REF!</v>
      </c>
      <c r="M162" s="184"/>
      <c r="N162" s="185"/>
      <c r="O162" s="25">
        <f t="shared" si="86"/>
        <v>0</v>
      </c>
      <c r="P162" s="26">
        <f t="shared" si="87"/>
        <v>36.493462271115838</v>
      </c>
      <c r="Q162" s="331"/>
      <c r="R162" s="331"/>
      <c r="Z162" s="15"/>
      <c r="AA162" s="15"/>
      <c r="AB162" s="15"/>
      <c r="AC162" s="15"/>
      <c r="AD162" s="15"/>
    </row>
    <row r="163" spans="1:50" ht="56.25" hidden="1" x14ac:dyDescent="0.25">
      <c r="A163" s="199" t="s">
        <v>143</v>
      </c>
      <c r="B163" s="104" t="s">
        <v>9</v>
      </c>
      <c r="C163" s="104" t="s">
        <v>12</v>
      </c>
      <c r="D163" s="104" t="s">
        <v>14</v>
      </c>
      <c r="E163" s="104" t="s">
        <v>138</v>
      </c>
      <c r="F163" s="104"/>
      <c r="G163" s="104"/>
      <c r="H163" s="104"/>
      <c r="I163" s="106">
        <f>I165+I164+I166</f>
        <v>0</v>
      </c>
      <c r="J163" s="106">
        <f>J165+J164+J166</f>
        <v>0</v>
      </c>
      <c r="K163" s="106">
        <f t="shared" ref="K163" si="88">K165</f>
        <v>0</v>
      </c>
      <c r="L163" s="265"/>
      <c r="M163" s="195"/>
      <c r="N163" s="196"/>
      <c r="O163" s="20">
        <f>I163-J163-K163</f>
        <v>0</v>
      </c>
      <c r="P163" s="21" t="e">
        <f t="shared" si="87"/>
        <v>#DIV/0!</v>
      </c>
      <c r="Q163" s="331"/>
      <c r="R163" s="331"/>
      <c r="Z163" s="15"/>
      <c r="AA163" s="15"/>
      <c r="AB163" s="15"/>
      <c r="AC163" s="15"/>
      <c r="AD163" s="15"/>
    </row>
    <row r="164" spans="1:50" ht="18.75" hidden="1" x14ac:dyDescent="0.25">
      <c r="A164" s="200" t="s">
        <v>43</v>
      </c>
      <c r="B164" s="112" t="s">
        <v>9</v>
      </c>
      <c r="C164" s="112" t="s">
        <v>12</v>
      </c>
      <c r="D164" s="112" t="s">
        <v>14</v>
      </c>
      <c r="E164" s="113" t="s">
        <v>138</v>
      </c>
      <c r="F164" s="112" t="s">
        <v>63</v>
      </c>
      <c r="G164" s="112" t="s">
        <v>44</v>
      </c>
      <c r="H164" s="129"/>
      <c r="I164" s="118">
        <v>0</v>
      </c>
      <c r="J164" s="158">
        <v>0</v>
      </c>
      <c r="K164" s="116"/>
      <c r="L164" s="136"/>
      <c r="M164" s="182"/>
      <c r="N164" s="183"/>
      <c r="O164" s="119"/>
      <c r="P164" s="120"/>
      <c r="Q164" s="331"/>
      <c r="R164" s="331"/>
      <c r="Z164" s="15"/>
      <c r="AA164" s="15"/>
      <c r="AB164" s="15"/>
      <c r="AC164" s="15"/>
      <c r="AD164" s="15"/>
    </row>
    <row r="165" spans="1:50" ht="25.5" hidden="1" customHeight="1" x14ac:dyDescent="0.25">
      <c r="A165" s="99" t="s">
        <v>47</v>
      </c>
      <c r="B165" s="112" t="s">
        <v>9</v>
      </c>
      <c r="C165" s="112" t="s">
        <v>12</v>
      </c>
      <c r="D165" s="112" t="s">
        <v>14</v>
      </c>
      <c r="E165" s="113" t="s">
        <v>138</v>
      </c>
      <c r="F165" s="112" t="s">
        <v>63</v>
      </c>
      <c r="G165" s="112" t="s">
        <v>48</v>
      </c>
      <c r="H165" s="112"/>
      <c r="I165" s="118">
        <v>0</v>
      </c>
      <c r="J165" s="158">
        <v>0</v>
      </c>
      <c r="K165" s="118">
        <f t="shared" ref="K165:K177" si="89">I165-J165</f>
        <v>0</v>
      </c>
      <c r="L165" s="266"/>
      <c r="M165" s="188"/>
      <c r="N165" s="189"/>
      <c r="O165" s="119">
        <f t="shared" ref="O165" si="90">I165-J165-K165</f>
        <v>0</v>
      </c>
      <c r="P165" s="120" t="e">
        <f t="shared" si="87"/>
        <v>#DIV/0!</v>
      </c>
      <c r="Q165" s="331"/>
      <c r="R165" s="331"/>
      <c r="Z165" s="15"/>
      <c r="AA165" s="15"/>
      <c r="AB165" s="15"/>
      <c r="AC165" s="15"/>
      <c r="AD165" s="15"/>
    </row>
    <row r="166" spans="1:50" ht="25.5" hidden="1" customHeight="1" x14ac:dyDescent="0.25">
      <c r="A166" s="175" t="s">
        <v>109</v>
      </c>
      <c r="B166" s="112" t="s">
        <v>9</v>
      </c>
      <c r="C166" s="112" t="s">
        <v>12</v>
      </c>
      <c r="D166" s="112" t="s">
        <v>14</v>
      </c>
      <c r="E166" s="113" t="s">
        <v>138</v>
      </c>
      <c r="F166" s="112" t="s">
        <v>63</v>
      </c>
      <c r="G166" s="112" t="s">
        <v>104</v>
      </c>
      <c r="H166" s="112"/>
      <c r="I166" s="118">
        <v>0</v>
      </c>
      <c r="J166" s="158">
        <v>0</v>
      </c>
      <c r="K166" s="118"/>
      <c r="L166" s="266"/>
      <c r="M166" s="188"/>
      <c r="N166" s="189"/>
      <c r="O166" s="119"/>
      <c r="P166" s="120"/>
      <c r="Q166" s="331"/>
      <c r="R166" s="331"/>
      <c r="Z166" s="15"/>
      <c r="AA166" s="15"/>
      <c r="AB166" s="15"/>
      <c r="AC166" s="15"/>
      <c r="AD166" s="15"/>
    </row>
    <row r="167" spans="1:50" s="47" customFormat="1" ht="18.75" x14ac:dyDescent="0.3">
      <c r="A167" s="58" t="s">
        <v>75</v>
      </c>
      <c r="B167" s="59" t="s">
        <v>9</v>
      </c>
      <c r="C167" s="59" t="s">
        <v>76</v>
      </c>
      <c r="D167" s="59"/>
      <c r="E167" s="59"/>
      <c r="F167" s="59"/>
      <c r="G167" s="59"/>
      <c r="H167" s="59"/>
      <c r="I167" s="61">
        <f t="shared" ref="I167:J171" si="91">I168</f>
        <v>5202484</v>
      </c>
      <c r="J167" s="61">
        <f t="shared" si="91"/>
        <v>2936896.42</v>
      </c>
      <c r="K167" s="61">
        <f t="shared" si="89"/>
        <v>2265587.58</v>
      </c>
      <c r="L167" s="61" t="e">
        <f>L168+#REF!</f>
        <v>#REF!</v>
      </c>
      <c r="M167" s="61" t="e">
        <f>M168+#REF!</f>
        <v>#REF!</v>
      </c>
      <c r="N167" s="61" t="e">
        <f>N168+#REF!</f>
        <v>#REF!</v>
      </c>
      <c r="O167" s="61">
        <f t="shared" si="86"/>
        <v>0</v>
      </c>
      <c r="P167" s="61">
        <f t="shared" ref="P167:P168" si="92">J167*100/I167</f>
        <v>56.451810711959901</v>
      </c>
      <c r="Q167" s="331"/>
      <c r="R167" s="331"/>
    </row>
    <row r="168" spans="1:50" ht="18.75" x14ac:dyDescent="0.3">
      <c r="A168" s="62" t="s">
        <v>77</v>
      </c>
      <c r="B168" s="63" t="s">
        <v>9</v>
      </c>
      <c r="C168" s="63" t="s">
        <v>76</v>
      </c>
      <c r="D168" s="63" t="s">
        <v>78</v>
      </c>
      <c r="E168" s="63"/>
      <c r="F168" s="63"/>
      <c r="G168" s="63"/>
      <c r="H168" s="63"/>
      <c r="I168" s="267">
        <f t="shared" si="91"/>
        <v>5202484</v>
      </c>
      <c r="J168" s="267">
        <f t="shared" si="91"/>
        <v>2936896.42</v>
      </c>
      <c r="K168" s="65">
        <f t="shared" si="89"/>
        <v>2265587.58</v>
      </c>
      <c r="L168" s="65" t="e">
        <f t="shared" ref="L168:N168" si="93">L169</f>
        <v>#REF!</v>
      </c>
      <c r="M168" s="65">
        <f t="shared" si="93"/>
        <v>0</v>
      </c>
      <c r="N168" s="65">
        <f t="shared" si="93"/>
        <v>0</v>
      </c>
      <c r="O168" s="65">
        <f t="shared" si="86"/>
        <v>0</v>
      </c>
      <c r="P168" s="65">
        <f t="shared" si="92"/>
        <v>56.451810711959901</v>
      </c>
      <c r="Q168" s="331"/>
      <c r="R168" s="331"/>
    </row>
    <row r="169" spans="1:50" ht="135.75" customHeight="1" x14ac:dyDescent="0.25">
      <c r="A169" s="86" t="s">
        <v>79</v>
      </c>
      <c r="B169" s="41" t="s">
        <v>9</v>
      </c>
      <c r="C169" s="41" t="s">
        <v>76</v>
      </c>
      <c r="D169" s="41" t="s">
        <v>78</v>
      </c>
      <c r="E169" s="66">
        <v>7110175110</v>
      </c>
      <c r="F169" s="41"/>
      <c r="G169" s="41"/>
      <c r="H169" s="41"/>
      <c r="I169" s="17">
        <f t="shared" si="91"/>
        <v>5202484</v>
      </c>
      <c r="J169" s="17">
        <f t="shared" si="91"/>
        <v>2936896.42</v>
      </c>
      <c r="K169" s="17">
        <f t="shared" si="89"/>
        <v>2265587.58</v>
      </c>
      <c r="L169" s="18" t="e">
        <f>L170</f>
        <v>#REF!</v>
      </c>
      <c r="M169" s="186"/>
      <c r="N169" s="187"/>
      <c r="O169" s="20">
        <f t="shared" si="86"/>
        <v>0</v>
      </c>
      <c r="P169" s="21">
        <f>J169/I169*100</f>
        <v>56.451810711959908</v>
      </c>
      <c r="Q169" s="331"/>
      <c r="R169" s="331"/>
    </row>
    <row r="170" spans="1:50" s="46" customFormat="1" ht="37.5" x14ac:dyDescent="0.25">
      <c r="A170" s="175" t="s">
        <v>93</v>
      </c>
      <c r="B170" s="22" t="s">
        <v>9</v>
      </c>
      <c r="C170" s="22" t="s">
        <v>76</v>
      </c>
      <c r="D170" s="22" t="s">
        <v>78</v>
      </c>
      <c r="E170" s="67">
        <v>7110175100</v>
      </c>
      <c r="F170" s="22" t="s">
        <v>63</v>
      </c>
      <c r="G170" s="22" t="s">
        <v>94</v>
      </c>
      <c r="H170" s="22"/>
      <c r="I170" s="23">
        <v>5202484</v>
      </c>
      <c r="J170" s="23">
        <v>2936896.42</v>
      </c>
      <c r="K170" s="23">
        <f t="shared" si="89"/>
        <v>2265587.58</v>
      </c>
      <c r="L170" s="24" t="e">
        <f>#REF!</f>
        <v>#REF!</v>
      </c>
      <c r="M170" s="182"/>
      <c r="N170" s="183"/>
      <c r="O170" s="25">
        <f t="shared" si="86"/>
        <v>0</v>
      </c>
      <c r="P170" s="26">
        <f t="shared" ref="P170" si="94">J170/I170*100</f>
        <v>56.451810711959908</v>
      </c>
      <c r="Q170" s="331"/>
      <c r="R170" s="331"/>
      <c r="S170" s="1"/>
      <c r="T170" s="1"/>
      <c r="U170" s="1"/>
      <c r="V170" s="1"/>
      <c r="W170" s="1"/>
      <c r="X170" s="1"/>
      <c r="Y170" s="1"/>
      <c r="Z170" s="68"/>
      <c r="AA170" s="68"/>
      <c r="AB170" s="68"/>
      <c r="AC170" s="68"/>
      <c r="AD170" s="68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62.25" hidden="1" customHeight="1" x14ac:dyDescent="0.25">
      <c r="A171" s="40" t="s">
        <v>139</v>
      </c>
      <c r="B171" s="41" t="s">
        <v>9</v>
      </c>
      <c r="C171" s="41" t="s">
        <v>12</v>
      </c>
      <c r="D171" s="41" t="s">
        <v>14</v>
      </c>
      <c r="E171" s="66" t="s">
        <v>135</v>
      </c>
      <c r="F171" s="41"/>
      <c r="G171" s="41"/>
      <c r="H171" s="41"/>
      <c r="I171" s="17">
        <f t="shared" si="91"/>
        <v>0</v>
      </c>
      <c r="J171" s="17">
        <f t="shared" si="91"/>
        <v>0</v>
      </c>
      <c r="K171" s="17">
        <f t="shared" si="89"/>
        <v>0</v>
      </c>
      <c r="L171" s="18" t="e">
        <f>L172</f>
        <v>#REF!</v>
      </c>
      <c r="M171" s="186"/>
      <c r="N171" s="187"/>
      <c r="O171" s="20">
        <f t="shared" si="86"/>
        <v>0</v>
      </c>
      <c r="P171" s="21" t="e">
        <f>J171/I171*100</f>
        <v>#DIV/0!</v>
      </c>
      <c r="Q171" s="331"/>
      <c r="R171" s="331"/>
    </row>
    <row r="172" spans="1:50" s="46" customFormat="1" ht="18.75" hidden="1" x14ac:dyDescent="0.25">
      <c r="A172" s="99" t="s">
        <v>47</v>
      </c>
      <c r="B172" s="22" t="s">
        <v>9</v>
      </c>
      <c r="C172" s="16" t="s">
        <v>12</v>
      </c>
      <c r="D172" s="16" t="s">
        <v>14</v>
      </c>
      <c r="E172" s="134" t="s">
        <v>135</v>
      </c>
      <c r="F172" s="22" t="s">
        <v>63</v>
      </c>
      <c r="G172" s="22" t="s">
        <v>48</v>
      </c>
      <c r="H172" s="22"/>
      <c r="I172" s="35">
        <v>0</v>
      </c>
      <c r="J172" s="35">
        <v>0</v>
      </c>
      <c r="K172" s="23">
        <f t="shared" si="89"/>
        <v>0</v>
      </c>
      <c r="L172" s="24" t="e">
        <f>#REF!</f>
        <v>#REF!</v>
      </c>
      <c r="M172" s="182"/>
      <c r="N172" s="183"/>
      <c r="O172" s="25">
        <f t="shared" si="86"/>
        <v>0</v>
      </c>
      <c r="P172" s="26" t="e">
        <f t="shared" ref="P172" si="95">J172/I172*100</f>
        <v>#DIV/0!</v>
      </c>
      <c r="Q172" s="331"/>
      <c r="R172" s="331"/>
      <c r="S172" s="1"/>
      <c r="T172" s="1"/>
      <c r="U172" s="1"/>
      <c r="V172" s="1"/>
      <c r="W172" s="1"/>
      <c r="X172" s="1"/>
      <c r="Y172" s="1"/>
      <c r="Z172" s="68"/>
      <c r="AA172" s="68"/>
      <c r="AB172" s="68"/>
      <c r="AC172" s="68"/>
      <c r="AD172" s="68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62.25" hidden="1" customHeight="1" x14ac:dyDescent="0.25">
      <c r="A173" s="199" t="s">
        <v>148</v>
      </c>
      <c r="B173" s="41" t="s">
        <v>9</v>
      </c>
      <c r="C173" s="41" t="s">
        <v>12</v>
      </c>
      <c r="D173" s="41" t="s">
        <v>85</v>
      </c>
      <c r="E173" s="66">
        <v>7010470790</v>
      </c>
      <c r="F173" s="41"/>
      <c r="G173" s="41"/>
      <c r="H173" s="41"/>
      <c r="I173" s="17">
        <f>I176+I174+I175+I177</f>
        <v>0</v>
      </c>
      <c r="J173" s="17">
        <f>J176+J174+J175+J177</f>
        <v>0</v>
      </c>
      <c r="K173" s="17">
        <f t="shared" si="89"/>
        <v>0</v>
      </c>
      <c r="L173" s="18" t="e">
        <f>L176</f>
        <v>#REF!</v>
      </c>
      <c r="M173" s="186"/>
      <c r="N173" s="187"/>
      <c r="O173" s="20">
        <f t="shared" si="86"/>
        <v>0</v>
      </c>
      <c r="P173" s="21" t="e">
        <f>J173/I173*100</f>
        <v>#DIV/0!</v>
      </c>
      <c r="Q173" s="331"/>
      <c r="R173" s="331"/>
    </row>
    <row r="174" spans="1:50" ht="27" hidden="1" customHeight="1" x14ac:dyDescent="0.25">
      <c r="A174" s="200" t="s">
        <v>56</v>
      </c>
      <c r="B174" s="22" t="s">
        <v>9</v>
      </c>
      <c r="C174" s="22" t="s">
        <v>12</v>
      </c>
      <c r="D174" s="22" t="s">
        <v>85</v>
      </c>
      <c r="E174" s="67">
        <v>7010470790</v>
      </c>
      <c r="F174" s="22" t="s">
        <v>63</v>
      </c>
      <c r="G174" s="22" t="s">
        <v>38</v>
      </c>
      <c r="H174" s="22"/>
      <c r="I174" s="23"/>
      <c r="J174" s="23"/>
      <c r="K174" s="23">
        <f>I174-J174</f>
        <v>0</v>
      </c>
      <c r="L174" s="24"/>
      <c r="M174" s="182"/>
      <c r="N174" s="183"/>
      <c r="O174" s="25"/>
      <c r="P174" s="26"/>
      <c r="Q174" s="331"/>
      <c r="R174" s="331"/>
    </row>
    <row r="175" spans="1:50" ht="20.25" hidden="1" customHeight="1" x14ac:dyDescent="0.25">
      <c r="A175" s="200" t="s">
        <v>43</v>
      </c>
      <c r="B175" s="22" t="s">
        <v>9</v>
      </c>
      <c r="C175" s="22" t="s">
        <v>12</v>
      </c>
      <c r="D175" s="22" t="s">
        <v>85</v>
      </c>
      <c r="E175" s="67">
        <v>7010470790</v>
      </c>
      <c r="F175" s="22" t="s">
        <v>63</v>
      </c>
      <c r="G175" s="22" t="s">
        <v>44</v>
      </c>
      <c r="H175" s="22"/>
      <c r="I175" s="23"/>
      <c r="J175" s="23"/>
      <c r="K175" s="23">
        <f>I175-J175</f>
        <v>0</v>
      </c>
      <c r="L175" s="24"/>
      <c r="M175" s="182"/>
      <c r="N175" s="183"/>
      <c r="O175" s="25"/>
      <c r="P175" s="26"/>
      <c r="Q175" s="331"/>
      <c r="R175" s="331"/>
    </row>
    <row r="176" spans="1:50" s="2" customFormat="1" ht="24" hidden="1" customHeight="1" x14ac:dyDescent="0.25">
      <c r="A176" s="201" t="s">
        <v>47</v>
      </c>
      <c r="B176" s="112" t="s">
        <v>9</v>
      </c>
      <c r="C176" s="112" t="s">
        <v>12</v>
      </c>
      <c r="D176" s="112" t="s">
        <v>85</v>
      </c>
      <c r="E176" s="138">
        <v>7010470790</v>
      </c>
      <c r="F176" s="112" t="s">
        <v>63</v>
      </c>
      <c r="G176" s="112" t="s">
        <v>48</v>
      </c>
      <c r="H176" s="112"/>
      <c r="I176" s="116"/>
      <c r="J176" s="116"/>
      <c r="K176" s="116">
        <f t="shared" si="89"/>
        <v>0</v>
      </c>
      <c r="L176" s="136" t="e">
        <f>#REF!</f>
        <v>#REF!</v>
      </c>
      <c r="M176" s="182"/>
      <c r="N176" s="183"/>
      <c r="O176" s="119">
        <f t="shared" si="86"/>
        <v>0</v>
      </c>
      <c r="P176" s="120" t="e">
        <f t="shared" ref="P176:P178" si="96">J176/I176*100</f>
        <v>#DIV/0!</v>
      </c>
      <c r="Q176" s="332"/>
      <c r="R176" s="332"/>
      <c r="S176" s="1"/>
      <c r="T176" s="1"/>
      <c r="U176" s="1"/>
      <c r="V176" s="1"/>
      <c r="W176" s="1"/>
      <c r="X176" s="1"/>
      <c r="Y176" s="1"/>
      <c r="Z176" s="68"/>
      <c r="AA176" s="68"/>
      <c r="AB176" s="68"/>
      <c r="AC176" s="68"/>
      <c r="AD176" s="6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" customFormat="1" ht="24" hidden="1" customHeight="1" x14ac:dyDescent="0.25">
      <c r="A177" s="175" t="s">
        <v>109</v>
      </c>
      <c r="B177" s="112" t="s">
        <v>9</v>
      </c>
      <c r="C177" s="112" t="s">
        <v>12</v>
      </c>
      <c r="D177" s="112" t="s">
        <v>85</v>
      </c>
      <c r="E177" s="138">
        <v>7010470790</v>
      </c>
      <c r="F177" s="112" t="s">
        <v>63</v>
      </c>
      <c r="G177" s="112" t="s">
        <v>104</v>
      </c>
      <c r="H177" s="22"/>
      <c r="I177" s="23"/>
      <c r="J177" s="23"/>
      <c r="K177" s="116">
        <f t="shared" si="89"/>
        <v>0</v>
      </c>
      <c r="L177" s="137"/>
      <c r="M177" s="263"/>
      <c r="N177" s="262"/>
      <c r="O177" s="119">
        <f>I177-J177-K177</f>
        <v>0</v>
      </c>
      <c r="P177" s="120" t="e">
        <f t="shared" si="96"/>
        <v>#DIV/0!</v>
      </c>
      <c r="Q177" s="332"/>
      <c r="R177" s="332"/>
      <c r="S177" s="1"/>
      <c r="T177" s="1"/>
      <c r="U177" s="1"/>
      <c r="V177" s="1"/>
      <c r="W177" s="1"/>
      <c r="X177" s="1"/>
      <c r="Y177" s="1"/>
      <c r="Z177" s="68"/>
      <c r="AA177" s="68"/>
      <c r="AB177" s="68"/>
      <c r="AC177" s="68"/>
      <c r="AD177" s="6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" customFormat="1" ht="60" hidden="1" customHeight="1" x14ac:dyDescent="0.25">
      <c r="A178" s="199" t="s">
        <v>145</v>
      </c>
      <c r="B178" s="104" t="s">
        <v>9</v>
      </c>
      <c r="C178" s="104" t="s">
        <v>12</v>
      </c>
      <c r="D178" s="104" t="s">
        <v>12</v>
      </c>
      <c r="E178" s="104" t="s">
        <v>149</v>
      </c>
      <c r="F178" s="104"/>
      <c r="G178" s="104"/>
      <c r="H178" s="104"/>
      <c r="I178" s="106">
        <f>I179+I180</f>
        <v>0</v>
      </c>
      <c r="J178" s="106">
        <f>J180+J179</f>
        <v>0</v>
      </c>
      <c r="K178" s="106">
        <f>K180+K179</f>
        <v>0</v>
      </c>
      <c r="L178" s="115"/>
      <c r="M178" s="195"/>
      <c r="N178" s="196"/>
      <c r="O178" s="20">
        <f>I178-J178-K178</f>
        <v>0</v>
      </c>
      <c r="P178" s="21" t="e">
        <f t="shared" si="96"/>
        <v>#DIV/0!</v>
      </c>
      <c r="Q178" s="321"/>
      <c r="R178" s="32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33" hidden="1" customHeight="1" x14ac:dyDescent="0.25">
      <c r="A179" s="194" t="s">
        <v>27</v>
      </c>
      <c r="B179" s="112" t="s">
        <v>9</v>
      </c>
      <c r="C179" s="112" t="s">
        <v>12</v>
      </c>
      <c r="D179" s="112" t="s">
        <v>12</v>
      </c>
      <c r="E179" s="112" t="s">
        <v>149</v>
      </c>
      <c r="F179" s="112" t="s">
        <v>63</v>
      </c>
      <c r="G179" s="112" t="s">
        <v>28</v>
      </c>
      <c r="H179" s="129"/>
      <c r="I179" s="116"/>
      <c r="J179" s="117"/>
      <c r="K179" s="130">
        <f>I179-J179</f>
        <v>0</v>
      </c>
      <c r="L179" s="131"/>
      <c r="M179" s="184"/>
      <c r="N179" s="185"/>
      <c r="O179" s="132"/>
      <c r="P179" s="133"/>
      <c r="Q179" s="325"/>
      <c r="R179" s="326"/>
    </row>
    <row r="180" spans="1:50" s="2" customFormat="1" ht="27.75" hidden="1" customHeight="1" x14ac:dyDescent="0.25">
      <c r="A180" s="175" t="s">
        <v>31</v>
      </c>
      <c r="B180" s="112" t="s">
        <v>9</v>
      </c>
      <c r="C180" s="112" t="s">
        <v>12</v>
      </c>
      <c r="D180" s="112" t="s">
        <v>12</v>
      </c>
      <c r="E180" s="112" t="s">
        <v>149</v>
      </c>
      <c r="F180" s="112" t="s">
        <v>63</v>
      </c>
      <c r="G180" s="112" t="s">
        <v>32</v>
      </c>
      <c r="H180" s="112"/>
      <c r="I180" s="116"/>
      <c r="J180" s="117"/>
      <c r="K180" s="116">
        <f>I180-J180</f>
        <v>0</v>
      </c>
      <c r="L180" s="131"/>
      <c r="M180" s="182"/>
      <c r="N180" s="183"/>
      <c r="O180" s="119">
        <f t="shared" ref="O180" si="97">I180-J180-K180</f>
        <v>0</v>
      </c>
      <c r="P180" s="120" t="e">
        <f t="shared" ref="P180:P186" si="98">J180/I180*100</f>
        <v>#DIV/0!</v>
      </c>
      <c r="Q180" s="323"/>
      <c r="R180" s="3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s="2" customFormat="1" ht="60" customHeight="1" x14ac:dyDescent="0.25">
      <c r="A181" s="199" t="s">
        <v>156</v>
      </c>
      <c r="B181" s="104" t="s">
        <v>9</v>
      </c>
      <c r="C181" s="104" t="s">
        <v>12</v>
      </c>
      <c r="D181" s="104" t="s">
        <v>14</v>
      </c>
      <c r="E181" s="104" t="s">
        <v>157</v>
      </c>
      <c r="F181" s="104"/>
      <c r="G181" s="104"/>
      <c r="H181" s="104"/>
      <c r="I181" s="106">
        <f>I182+I183</f>
        <v>6358968</v>
      </c>
      <c r="J181" s="106">
        <f>J183+J182</f>
        <v>4387736.7799999993</v>
      </c>
      <c r="K181" s="106">
        <f>K183+K182</f>
        <v>1971231.2200000002</v>
      </c>
      <c r="L181" s="115"/>
      <c r="M181" s="195"/>
      <c r="N181" s="196"/>
      <c r="O181" s="20">
        <f>I181-J181-K181</f>
        <v>0</v>
      </c>
      <c r="P181" s="21">
        <f t="shared" si="98"/>
        <v>69.000768363671583</v>
      </c>
      <c r="Q181" s="321"/>
      <c r="R181" s="32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33" customHeight="1" x14ac:dyDescent="0.25">
      <c r="A182" s="194" t="s">
        <v>27</v>
      </c>
      <c r="B182" s="112" t="s">
        <v>9</v>
      </c>
      <c r="C182" s="112" t="s">
        <v>12</v>
      </c>
      <c r="D182" s="112" t="s">
        <v>14</v>
      </c>
      <c r="E182" s="112" t="s">
        <v>157</v>
      </c>
      <c r="F182" s="112" t="s">
        <v>63</v>
      </c>
      <c r="G182" s="112" t="s">
        <v>28</v>
      </c>
      <c r="H182" s="129"/>
      <c r="I182" s="116">
        <v>4884000</v>
      </c>
      <c r="J182" s="117">
        <v>3369997.53</v>
      </c>
      <c r="K182" s="116">
        <f>I182-J182</f>
        <v>1514002.4700000002</v>
      </c>
      <c r="L182" s="131"/>
      <c r="M182" s="184"/>
      <c r="N182" s="185"/>
      <c r="O182" s="119">
        <f t="shared" ref="O182:O183" si="99">I182-J182-K182</f>
        <v>0</v>
      </c>
      <c r="P182" s="120">
        <f t="shared" si="98"/>
        <v>69.000768427518423</v>
      </c>
      <c r="Q182" s="325"/>
      <c r="R182" s="326"/>
    </row>
    <row r="183" spans="1:50" s="2" customFormat="1" ht="27.75" customHeight="1" x14ac:dyDescent="0.25">
      <c r="A183" s="175" t="s">
        <v>31</v>
      </c>
      <c r="B183" s="112" t="s">
        <v>9</v>
      </c>
      <c r="C183" s="112" t="s">
        <v>12</v>
      </c>
      <c r="D183" s="112" t="s">
        <v>14</v>
      </c>
      <c r="E183" s="112" t="s">
        <v>157</v>
      </c>
      <c r="F183" s="112" t="s">
        <v>63</v>
      </c>
      <c r="G183" s="112" t="s">
        <v>32</v>
      </c>
      <c r="H183" s="112"/>
      <c r="I183" s="116">
        <v>1474968</v>
      </c>
      <c r="J183" s="117">
        <v>1017739.25</v>
      </c>
      <c r="K183" s="116">
        <f>I183-J183</f>
        <v>457228.75</v>
      </c>
      <c r="L183" s="131"/>
      <c r="M183" s="182"/>
      <c r="N183" s="183"/>
      <c r="O183" s="119">
        <f t="shared" si="99"/>
        <v>0</v>
      </c>
      <c r="P183" s="120">
        <f t="shared" si="98"/>
        <v>69.000768152258217</v>
      </c>
      <c r="Q183" s="323"/>
      <c r="R183" s="32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" customFormat="1" ht="60" customHeight="1" x14ac:dyDescent="0.25">
      <c r="A184" s="199" t="s">
        <v>156</v>
      </c>
      <c r="B184" s="104" t="s">
        <v>9</v>
      </c>
      <c r="C184" s="104" t="s">
        <v>12</v>
      </c>
      <c r="D184" s="104" t="s">
        <v>14</v>
      </c>
      <c r="E184" s="104" t="s">
        <v>158</v>
      </c>
      <c r="F184" s="104"/>
      <c r="G184" s="104"/>
      <c r="H184" s="104"/>
      <c r="I184" s="106">
        <f>I185+I186</f>
        <v>289044</v>
      </c>
      <c r="J184" s="106">
        <f>J186+J185</f>
        <v>197337.61</v>
      </c>
      <c r="K184" s="106">
        <f>K186+K185</f>
        <v>91706.390000000014</v>
      </c>
      <c r="L184" s="115"/>
      <c r="M184" s="195"/>
      <c r="N184" s="196"/>
      <c r="O184" s="20">
        <f>I184-J184-K184</f>
        <v>0</v>
      </c>
      <c r="P184" s="21">
        <f t="shared" si="98"/>
        <v>68.272515603160755</v>
      </c>
      <c r="Q184" s="321"/>
      <c r="R184" s="32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33" customHeight="1" x14ac:dyDescent="0.25">
      <c r="A185" s="194" t="s">
        <v>27</v>
      </c>
      <c r="B185" s="112" t="s">
        <v>9</v>
      </c>
      <c r="C185" s="112" t="s">
        <v>12</v>
      </c>
      <c r="D185" s="112" t="s">
        <v>14</v>
      </c>
      <c r="E185" s="112" t="s">
        <v>158</v>
      </c>
      <c r="F185" s="112" t="s">
        <v>63</v>
      </c>
      <c r="G185" s="112" t="s">
        <v>28</v>
      </c>
      <c r="H185" s="129"/>
      <c r="I185" s="116">
        <v>222000</v>
      </c>
      <c r="J185" s="117">
        <v>151564.99</v>
      </c>
      <c r="K185" s="116">
        <f>I185-J185</f>
        <v>70435.010000000009</v>
      </c>
      <c r="L185" s="131"/>
      <c r="M185" s="184"/>
      <c r="N185" s="185"/>
      <c r="O185" s="119">
        <f t="shared" ref="O185:O186" si="100">I185-J185-K185</f>
        <v>0</v>
      </c>
      <c r="P185" s="120">
        <f t="shared" si="98"/>
        <v>68.272518018018019</v>
      </c>
      <c r="Q185" s="325"/>
      <c r="R185" s="326"/>
    </row>
    <row r="186" spans="1:50" s="2" customFormat="1" ht="27.75" customHeight="1" x14ac:dyDescent="0.25">
      <c r="A186" s="291" t="s">
        <v>31</v>
      </c>
      <c r="B186" s="112" t="s">
        <v>9</v>
      </c>
      <c r="C186" s="112" t="s">
        <v>12</v>
      </c>
      <c r="D186" s="112" t="s">
        <v>14</v>
      </c>
      <c r="E186" s="112" t="s">
        <v>158</v>
      </c>
      <c r="F186" s="112" t="s">
        <v>63</v>
      </c>
      <c r="G186" s="112" t="s">
        <v>32</v>
      </c>
      <c r="H186" s="112"/>
      <c r="I186" s="116">
        <v>67044</v>
      </c>
      <c r="J186" s="117">
        <v>45772.62</v>
      </c>
      <c r="K186" s="116">
        <f>I186-J186</f>
        <v>21271.379999999997</v>
      </c>
      <c r="L186" s="131"/>
      <c r="M186" s="182"/>
      <c r="N186" s="183"/>
      <c r="O186" s="119">
        <f t="shared" si="100"/>
        <v>0</v>
      </c>
      <c r="P186" s="120">
        <f t="shared" si="98"/>
        <v>68.2725076069447</v>
      </c>
      <c r="Q186" s="323"/>
      <c r="R186" s="32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9.5" customHeight="1" x14ac:dyDescent="0.25">
      <c r="A187" s="386" t="s">
        <v>80</v>
      </c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30"/>
      <c r="R187" s="330"/>
    </row>
    <row r="188" spans="1:50" s="15" customFormat="1" ht="72.75" customHeight="1" x14ac:dyDescent="0.25">
      <c r="A188" s="202" t="s">
        <v>120</v>
      </c>
      <c r="B188" s="16" t="s">
        <v>81</v>
      </c>
      <c r="C188" s="16" t="s">
        <v>82</v>
      </c>
      <c r="D188" s="16" t="s">
        <v>82</v>
      </c>
      <c r="E188" s="16" t="s">
        <v>83</v>
      </c>
      <c r="F188" s="16" t="s">
        <v>81</v>
      </c>
      <c r="G188" s="16"/>
      <c r="H188" s="16"/>
      <c r="I188" s="17">
        <f>I189</f>
        <v>4268106.4000000004</v>
      </c>
      <c r="J188" s="17">
        <f>J189</f>
        <v>2183340.92</v>
      </c>
      <c r="K188" s="17">
        <f>I188-J188</f>
        <v>2084765.4800000004</v>
      </c>
      <c r="L188" s="17">
        <f t="shared" ref="L188:N188" si="101">L189</f>
        <v>0</v>
      </c>
      <c r="M188" s="17">
        <f t="shared" si="101"/>
        <v>0</v>
      </c>
      <c r="N188" s="17">
        <f t="shared" si="101"/>
        <v>0</v>
      </c>
      <c r="O188" s="20">
        <f t="shared" ref="O188:O189" si="102">I188-J188-K188</f>
        <v>0</v>
      </c>
      <c r="P188" s="21">
        <f>J188/I188*100</f>
        <v>51.154791267621626</v>
      </c>
      <c r="Q188" s="331"/>
      <c r="R188" s="331"/>
      <c r="S188" s="1"/>
      <c r="T188" s="1"/>
      <c r="U188" s="1"/>
      <c r="V188" s="1"/>
      <c r="W188" s="1"/>
      <c r="X188" s="1"/>
      <c r="Y188" s="1"/>
    </row>
    <row r="189" spans="1:50" s="15" customFormat="1" ht="18.75" customHeight="1" x14ac:dyDescent="0.25">
      <c r="A189" s="99" t="s">
        <v>113</v>
      </c>
      <c r="B189" s="22" t="s">
        <v>81</v>
      </c>
      <c r="C189" s="22" t="s">
        <v>82</v>
      </c>
      <c r="D189" s="22" t="s">
        <v>82</v>
      </c>
      <c r="E189" s="22" t="s">
        <v>83</v>
      </c>
      <c r="F189" s="22" t="s">
        <v>81</v>
      </c>
      <c r="G189" s="22" t="s">
        <v>114</v>
      </c>
      <c r="H189" s="22"/>
      <c r="I189" s="23">
        <v>4268106.4000000004</v>
      </c>
      <c r="J189" s="23">
        <v>2183340.92</v>
      </c>
      <c r="K189" s="23">
        <f>I189-J189</f>
        <v>2084765.4800000004</v>
      </c>
      <c r="L189" s="292"/>
      <c r="M189" s="282"/>
      <c r="N189" s="281"/>
      <c r="O189" s="25">
        <f t="shared" si="102"/>
        <v>0</v>
      </c>
      <c r="P189" s="26">
        <f>J189/I189*100</f>
        <v>51.154791267621626</v>
      </c>
      <c r="Q189" s="331"/>
      <c r="R189" s="331"/>
      <c r="S189" s="1"/>
      <c r="T189" s="1"/>
      <c r="U189" s="1"/>
      <c r="V189" s="1"/>
      <c r="W189" s="1"/>
      <c r="X189" s="1"/>
      <c r="Y189" s="1"/>
    </row>
    <row r="190" spans="1:50" ht="0.75" customHeight="1" x14ac:dyDescent="0.25">
      <c r="A190" s="293"/>
      <c r="B190" s="293"/>
      <c r="C190" s="293"/>
      <c r="D190" s="293"/>
      <c r="E190" s="293"/>
      <c r="F190" s="293"/>
      <c r="G190" s="293"/>
      <c r="H190" s="294"/>
      <c r="I190" s="295"/>
      <c r="J190" s="296"/>
      <c r="K190" s="297"/>
      <c r="L190" s="281"/>
      <c r="M190" s="281"/>
      <c r="N190" s="281"/>
      <c r="O190" s="281"/>
      <c r="P190" s="281"/>
      <c r="Q190" s="281"/>
      <c r="R190" s="281"/>
    </row>
    <row r="191" spans="1:50" ht="19.5" customHeight="1" x14ac:dyDescent="0.25">
      <c r="A191" s="386" t="s">
        <v>186</v>
      </c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31"/>
      <c r="R191" s="331"/>
    </row>
    <row r="192" spans="1:50" s="15" customFormat="1" ht="76.5" customHeight="1" x14ac:dyDescent="0.25">
      <c r="A192" s="202"/>
      <c r="B192" s="16" t="s">
        <v>81</v>
      </c>
      <c r="C192" s="16" t="s">
        <v>82</v>
      </c>
      <c r="D192" s="16" t="s">
        <v>82</v>
      </c>
      <c r="E192" s="16" t="s">
        <v>83</v>
      </c>
      <c r="F192" s="16" t="s">
        <v>81</v>
      </c>
      <c r="G192" s="16"/>
      <c r="H192" s="16"/>
      <c r="I192" s="17">
        <f>I194+I193</f>
        <v>1250000</v>
      </c>
      <c r="J192" s="17">
        <f>J194+J193</f>
        <v>947891</v>
      </c>
      <c r="K192" s="17">
        <f>I192-J192</f>
        <v>302109</v>
      </c>
      <c r="L192" s="17">
        <f t="shared" ref="L192:N192" si="103">L194</f>
        <v>0</v>
      </c>
      <c r="M192" s="17">
        <f t="shared" si="103"/>
        <v>0</v>
      </c>
      <c r="N192" s="17">
        <f t="shared" si="103"/>
        <v>0</v>
      </c>
      <c r="O192" s="20">
        <f t="shared" ref="O192:O194" si="104">I192-J192-K192</f>
        <v>0</v>
      </c>
      <c r="P192" s="21">
        <f>J192/I192*100</f>
        <v>75.831280000000007</v>
      </c>
      <c r="Q192" s="331"/>
      <c r="R192" s="331"/>
      <c r="S192" s="1"/>
      <c r="T192" s="1"/>
      <c r="U192" s="1"/>
      <c r="V192" s="1"/>
      <c r="W192" s="1"/>
      <c r="X192" s="1"/>
      <c r="Y192" s="1"/>
    </row>
    <row r="193" spans="1:25" s="15" customFormat="1" ht="18.75" customHeight="1" x14ac:dyDescent="0.25">
      <c r="A193" s="99" t="s">
        <v>113</v>
      </c>
      <c r="B193" s="22" t="s">
        <v>81</v>
      </c>
      <c r="C193" s="22" t="s">
        <v>82</v>
      </c>
      <c r="D193" s="22" t="s">
        <v>82</v>
      </c>
      <c r="E193" s="22" t="s">
        <v>83</v>
      </c>
      <c r="F193" s="22" t="s">
        <v>81</v>
      </c>
      <c r="G193" s="22" t="s">
        <v>48</v>
      </c>
      <c r="H193" s="22"/>
      <c r="I193" s="23">
        <v>368049</v>
      </c>
      <c r="J193" s="23">
        <v>65940</v>
      </c>
      <c r="K193" s="23">
        <f>I193-J193</f>
        <v>302109</v>
      </c>
      <c r="L193" s="292"/>
      <c r="M193" s="282"/>
      <c r="N193" s="281"/>
      <c r="O193" s="25">
        <f t="shared" si="104"/>
        <v>0</v>
      </c>
      <c r="P193" s="26">
        <f>J193/I193*100</f>
        <v>17.916092694179309</v>
      </c>
      <c r="Q193" s="331"/>
      <c r="R193" s="331"/>
      <c r="S193" s="1"/>
      <c r="T193" s="1"/>
      <c r="U193" s="1"/>
      <c r="V193" s="1"/>
      <c r="W193" s="1"/>
      <c r="X193" s="1"/>
      <c r="Y193" s="1"/>
    </row>
    <row r="194" spans="1:25" s="15" customFormat="1" ht="18.75" customHeight="1" x14ac:dyDescent="0.25">
      <c r="A194" s="99" t="s">
        <v>113</v>
      </c>
      <c r="B194" s="22" t="s">
        <v>81</v>
      </c>
      <c r="C194" s="22" t="s">
        <v>82</v>
      </c>
      <c r="D194" s="22" t="s">
        <v>82</v>
      </c>
      <c r="E194" s="22" t="s">
        <v>83</v>
      </c>
      <c r="F194" s="22" t="s">
        <v>81</v>
      </c>
      <c r="G194" s="22" t="s">
        <v>104</v>
      </c>
      <c r="H194" s="22"/>
      <c r="I194" s="23">
        <v>881951</v>
      </c>
      <c r="J194" s="23">
        <v>881951</v>
      </c>
      <c r="K194" s="23">
        <f>I194-J194</f>
        <v>0</v>
      </c>
      <c r="L194" s="292"/>
      <c r="M194" s="282"/>
      <c r="N194" s="281"/>
      <c r="O194" s="25">
        <f t="shared" si="104"/>
        <v>0</v>
      </c>
      <c r="P194" s="26">
        <f>J194/I194*100</f>
        <v>100</v>
      </c>
      <c r="Q194" s="331"/>
      <c r="R194" s="331"/>
      <c r="S194" s="1"/>
      <c r="T194" s="1"/>
      <c r="U194" s="1"/>
      <c r="V194" s="1"/>
      <c r="W194" s="1"/>
      <c r="X194" s="1"/>
      <c r="Y194" s="1"/>
    </row>
    <row r="195" spans="1:25" ht="27.75" customHeight="1" x14ac:dyDescent="0.25">
      <c r="A195" s="77"/>
      <c r="B195" s="78"/>
      <c r="C195" s="78"/>
      <c r="D195" s="78"/>
      <c r="E195" s="78"/>
      <c r="F195" s="78"/>
      <c r="G195" s="1"/>
      <c r="H195" s="1"/>
      <c r="I195" s="1"/>
      <c r="J195" s="1"/>
      <c r="K195" s="1"/>
      <c r="L195" s="73"/>
      <c r="M195" s="74"/>
      <c r="N195" s="75"/>
      <c r="O195" s="75"/>
      <c r="P195" s="75"/>
    </row>
    <row r="196" spans="1:25" ht="40.5" customHeight="1" x14ac:dyDescent="0.25">
      <c r="A196" s="379" t="s">
        <v>181</v>
      </c>
      <c r="B196" s="379"/>
      <c r="C196" s="379"/>
      <c r="D196" s="379"/>
      <c r="E196" s="379"/>
      <c r="F196" s="379"/>
      <c r="G196" s="379"/>
      <c r="H196" s="80"/>
      <c r="I196" s="1"/>
      <c r="J196" s="1"/>
      <c r="K196" s="1"/>
      <c r="L196" s="73"/>
      <c r="M196" s="74"/>
      <c r="N196" s="75"/>
      <c r="O196" s="75"/>
      <c r="P196" s="75"/>
    </row>
    <row r="197" spans="1:25" ht="15" customHeight="1" x14ac:dyDescent="0.25">
      <c r="A197" s="379" t="s">
        <v>177</v>
      </c>
      <c r="B197" s="379"/>
      <c r="C197" s="379"/>
      <c r="D197" s="379"/>
      <c r="E197" s="379"/>
      <c r="F197" s="379"/>
      <c r="G197" s="379"/>
      <c r="H197" s="80"/>
      <c r="I197" s="1"/>
      <c r="J197" s="1"/>
      <c r="K197" s="1"/>
      <c r="L197" s="73"/>
      <c r="M197" s="74"/>
      <c r="N197" s="75"/>
      <c r="O197" s="75"/>
      <c r="P197" s="75"/>
    </row>
    <row r="198" spans="1:25" ht="18.75" x14ac:dyDescent="0.25">
      <c r="A198" s="83"/>
      <c r="B198" s="84"/>
      <c r="C198" s="84"/>
      <c r="D198" s="84"/>
      <c r="E198" s="84"/>
      <c r="F198" s="84"/>
      <c r="G198" s="1"/>
      <c r="H198" s="1"/>
      <c r="I198" s="1"/>
      <c r="J198" s="1"/>
      <c r="K198" s="1"/>
      <c r="L198" s="73"/>
      <c r="M198" s="74"/>
      <c r="N198" s="75"/>
      <c r="O198" s="75"/>
      <c r="P198" s="75"/>
    </row>
    <row r="199" spans="1:25" x14ac:dyDescent="0.25">
      <c r="A199" s="1"/>
      <c r="B199" s="1"/>
      <c r="C199" s="1"/>
      <c r="D199" s="1"/>
      <c r="E199" s="1"/>
      <c r="F199" s="1"/>
      <c r="L199" s="73"/>
      <c r="M199" s="74"/>
      <c r="N199" s="75"/>
      <c r="O199" s="75"/>
      <c r="P199" s="75"/>
    </row>
    <row r="200" spans="1:25" x14ac:dyDescent="0.25">
      <c r="A200" s="1"/>
      <c r="B200" s="1"/>
      <c r="C200" s="1"/>
      <c r="D200" s="1"/>
      <c r="E200" s="1"/>
      <c r="F200" s="1"/>
      <c r="L200" s="73"/>
      <c r="M200" s="74"/>
      <c r="N200" s="75"/>
      <c r="O200" s="75"/>
      <c r="P200" s="75"/>
    </row>
    <row r="201" spans="1:25" x14ac:dyDescent="0.25">
      <c r="A201" s="1"/>
      <c r="B201" s="1"/>
      <c r="C201" s="1"/>
      <c r="D201" s="1"/>
      <c r="E201" s="1"/>
      <c r="F201" s="1"/>
      <c r="J201" s="246">
        <f>SUM(J194+J189+J186+J185+J183+J182+J170+J162+J160+J158+J153+J149+J148+J146+J137+J132+J131+J130+J129+J128+J127+J125+J124+J122+J121+J119+J118+J116+J114++J109+J108+J106+J105+J100+J99+J97+J96++J94+J92+J90+J88+J87+J85+J84+J83+J71+J68+J67+J66+J65+J64+J63+J55+J54+J52+J51+J49+J47+J45+J44+J43+J42+J40+J39+J38+J37+J36+J35+J34+J33+J31+J30+J29+J28+J27+J26+J25+J24+J23+J21+J20+J19+J17+J16+J193+J93+J73)</f>
        <v>81853000.370000005</v>
      </c>
      <c r="L201" s="73"/>
      <c r="M201" s="74"/>
      <c r="N201" s="75"/>
      <c r="O201" s="75"/>
      <c r="P201" s="75"/>
    </row>
    <row r="202" spans="1:25" x14ac:dyDescent="0.25">
      <c r="A202" s="1"/>
      <c r="B202" s="1"/>
      <c r="C202" s="1"/>
      <c r="D202" s="1"/>
      <c r="E202" s="1"/>
      <c r="F202" s="1"/>
      <c r="J202" s="128">
        <v>75541745.430000007</v>
      </c>
    </row>
    <row r="203" spans="1:25" x14ac:dyDescent="0.25">
      <c r="A203" s="1"/>
      <c r="B203" s="1"/>
      <c r="C203" s="1"/>
      <c r="D203" s="1"/>
      <c r="E203" s="1"/>
      <c r="F203" s="1"/>
      <c r="J203" s="246">
        <f>J202-J201</f>
        <v>-6311254.9399999976</v>
      </c>
      <c r="L203" s="1"/>
      <c r="M203" s="1"/>
    </row>
    <row r="204" spans="1:25" x14ac:dyDescent="0.25">
      <c r="A204" s="1"/>
      <c r="B204" s="1"/>
      <c r="C204" s="1"/>
      <c r="D204" s="1"/>
      <c r="E204" s="1"/>
      <c r="F204" s="1"/>
      <c r="L204" s="1"/>
      <c r="M204" s="1"/>
    </row>
    <row r="205" spans="1:25" x14ac:dyDescent="0.25">
      <c r="A205" s="1"/>
      <c r="B205" s="1"/>
      <c r="C205" s="1"/>
      <c r="D205" s="1"/>
      <c r="E205" s="1"/>
      <c r="F205" s="1"/>
      <c r="L205" s="1"/>
      <c r="M205" s="1"/>
    </row>
    <row r="206" spans="1:25" x14ac:dyDescent="0.25">
      <c r="A206" s="1"/>
      <c r="B206" s="1"/>
      <c r="C206" s="1"/>
      <c r="D206" s="1"/>
      <c r="E206" s="1"/>
      <c r="F206" s="1"/>
      <c r="L206" s="1"/>
      <c r="M206" s="1"/>
    </row>
    <row r="207" spans="1:25" x14ac:dyDescent="0.25">
      <c r="A207" s="1"/>
      <c r="B207" s="1"/>
      <c r="C207" s="1"/>
      <c r="D207" s="1"/>
      <c r="E207" s="1"/>
      <c r="F207" s="1"/>
    </row>
    <row r="208" spans="1:25" x14ac:dyDescent="0.25">
      <c r="A208" s="1"/>
      <c r="B208" s="1"/>
      <c r="C208" s="1"/>
      <c r="D208" s="1"/>
      <c r="E208" s="1"/>
      <c r="F208" s="1"/>
    </row>
    <row r="209" spans="1:50" x14ac:dyDescent="0.25">
      <c r="A209" s="1"/>
      <c r="B209" s="1"/>
      <c r="C209" s="1"/>
      <c r="D209" s="1"/>
      <c r="E209" s="1"/>
      <c r="F209" s="1"/>
    </row>
    <row r="210" spans="1:50" x14ac:dyDescent="0.25">
      <c r="A210" s="1"/>
      <c r="B210" s="1"/>
      <c r="C210" s="1"/>
      <c r="D210" s="1"/>
      <c r="E210" s="1"/>
      <c r="F210" s="1"/>
    </row>
    <row r="211" spans="1:50" x14ac:dyDescent="0.25">
      <c r="A211" s="1"/>
      <c r="B211" s="1"/>
      <c r="C211" s="1"/>
      <c r="D211" s="1"/>
      <c r="E211" s="1"/>
      <c r="F211" s="1"/>
    </row>
    <row r="212" spans="1:50" x14ac:dyDescent="0.25">
      <c r="A212" s="1"/>
      <c r="B212" s="1"/>
      <c r="C212" s="1"/>
      <c r="D212" s="1"/>
      <c r="E212" s="1"/>
      <c r="F212" s="1"/>
    </row>
    <row r="213" spans="1:50" x14ac:dyDescent="0.25">
      <c r="A213" s="1"/>
      <c r="B213" s="1"/>
      <c r="C213" s="1"/>
      <c r="D213" s="1"/>
      <c r="E213" s="1"/>
      <c r="F213" s="1"/>
    </row>
    <row r="214" spans="1:50" x14ac:dyDescent="0.25">
      <c r="A214" s="1"/>
      <c r="B214" s="1"/>
      <c r="C214" s="1"/>
      <c r="D214" s="1"/>
      <c r="E214" s="1"/>
      <c r="F214" s="1"/>
    </row>
    <row r="215" spans="1:50" x14ac:dyDescent="0.25">
      <c r="A215" s="1"/>
      <c r="B215" s="1"/>
      <c r="C215" s="1"/>
      <c r="D215" s="1"/>
      <c r="E215" s="1"/>
      <c r="F215" s="1"/>
    </row>
    <row r="216" spans="1:50" x14ac:dyDescent="0.25">
      <c r="A216" s="1"/>
      <c r="B216" s="1"/>
      <c r="C216" s="1"/>
      <c r="D216" s="1"/>
      <c r="E216" s="1"/>
      <c r="F216" s="1"/>
    </row>
    <row r="217" spans="1:50" x14ac:dyDescent="0.25">
      <c r="A217" s="1"/>
      <c r="B217" s="1"/>
      <c r="C217" s="1"/>
      <c r="D217" s="1"/>
      <c r="E217" s="1"/>
      <c r="F217" s="1"/>
    </row>
    <row r="218" spans="1:50" s="68" customFormat="1" x14ac:dyDescent="0.25">
      <c r="A218" s="1"/>
      <c r="B218" s="1"/>
      <c r="C218" s="1"/>
      <c r="D218" s="1"/>
      <c r="E218" s="1"/>
      <c r="F218" s="1"/>
      <c r="I218" s="128"/>
      <c r="J218" s="128"/>
      <c r="K218" s="76"/>
      <c r="L218" s="76"/>
      <c r="M218" s="2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68" customFormat="1" x14ac:dyDescent="0.25">
      <c r="A219" s="85"/>
      <c r="I219" s="128"/>
      <c r="J219" s="128"/>
      <c r="K219" s="76"/>
      <c r="L219" s="76"/>
      <c r="M219" s="2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68" customFormat="1" x14ac:dyDescent="0.25">
      <c r="A220" s="85"/>
      <c r="I220" s="128"/>
      <c r="J220" s="128"/>
      <c r="K220" s="76"/>
      <c r="L220" s="76"/>
      <c r="M220" s="2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68" customFormat="1" x14ac:dyDescent="0.25">
      <c r="A221" s="85"/>
      <c r="I221" s="128"/>
      <c r="J221" s="128"/>
      <c r="K221" s="76"/>
      <c r="L221" s="76"/>
      <c r="M221" s="2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68" customFormat="1" x14ac:dyDescent="0.25">
      <c r="A222" s="85"/>
      <c r="I222" s="128"/>
      <c r="J222" s="128"/>
      <c r="K222" s="76"/>
      <c r="L222" s="76"/>
      <c r="M222" s="2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68" customFormat="1" x14ac:dyDescent="0.25">
      <c r="A223" s="85"/>
      <c r="I223" s="128"/>
      <c r="J223" s="128"/>
      <c r="K223" s="76"/>
      <c r="L223" s="76"/>
      <c r="M223" s="2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68" customFormat="1" x14ac:dyDescent="0.25">
      <c r="A224" s="85"/>
      <c r="I224" s="128"/>
      <c r="J224" s="128"/>
      <c r="K224" s="76"/>
      <c r="L224" s="76"/>
      <c r="M224" s="2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68" customFormat="1" x14ac:dyDescent="0.25">
      <c r="A225" s="85"/>
      <c r="I225" s="128"/>
      <c r="J225" s="128"/>
      <c r="K225" s="76"/>
      <c r="L225" s="76"/>
      <c r="M225" s="2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68" customFormat="1" x14ac:dyDescent="0.25">
      <c r="A226" s="85"/>
      <c r="I226" s="128"/>
      <c r="J226" s="128"/>
      <c r="K226" s="76"/>
      <c r="L226" s="76"/>
      <c r="M226" s="2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</sheetData>
  <mergeCells count="181">
    <mergeCell ref="A1:P1"/>
    <mergeCell ref="A2:P2"/>
    <mergeCell ref="A3:A4"/>
    <mergeCell ref="B3:B4"/>
    <mergeCell ref="C3:F4"/>
    <mergeCell ref="G3:G4"/>
    <mergeCell ref="H3:H4"/>
    <mergeCell ref="I3:I4"/>
    <mergeCell ref="J3:J4"/>
    <mergeCell ref="K3:K4"/>
    <mergeCell ref="Q8:R8"/>
    <mergeCell ref="Q9:R9"/>
    <mergeCell ref="Q10:R10"/>
    <mergeCell ref="Q11:R11"/>
    <mergeCell ref="Q12:R12"/>
    <mergeCell ref="Q13:R13"/>
    <mergeCell ref="O3:O4"/>
    <mergeCell ref="P3:P4"/>
    <mergeCell ref="Q3:R4"/>
    <mergeCell ref="Q5:R5"/>
    <mergeCell ref="Q6:R6"/>
    <mergeCell ref="A7:P7"/>
    <mergeCell ref="Q7:R7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32:R32"/>
    <mergeCell ref="Q33:R33"/>
    <mergeCell ref="Q34:R34"/>
    <mergeCell ref="Q35:R35"/>
    <mergeCell ref="Q37:R37"/>
    <mergeCell ref="Q38:R38"/>
    <mergeCell ref="Q26:R26"/>
    <mergeCell ref="Q27:R27"/>
    <mergeCell ref="Q28:R28"/>
    <mergeCell ref="Q29:R29"/>
    <mergeCell ref="Q30:R30"/>
    <mergeCell ref="Q31:R31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57:R57"/>
    <mergeCell ref="Q58:R58"/>
    <mergeCell ref="Q59:R59"/>
    <mergeCell ref="Q60:R60"/>
    <mergeCell ref="Q61:R71"/>
    <mergeCell ref="A74:P74"/>
    <mergeCell ref="Q74:R74"/>
    <mergeCell ref="Q51:R51"/>
    <mergeCell ref="Q52:R52"/>
    <mergeCell ref="Q53:R53"/>
    <mergeCell ref="Q54:R54"/>
    <mergeCell ref="Q55:R55"/>
    <mergeCell ref="Q56:R56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93:R93"/>
    <mergeCell ref="N94:O94"/>
    <mergeCell ref="Q95:R95"/>
    <mergeCell ref="Q96:R96"/>
    <mergeCell ref="Q97:R97"/>
    <mergeCell ref="Q98:R98"/>
    <mergeCell ref="Q87:R87"/>
    <mergeCell ref="Q88:R88"/>
    <mergeCell ref="Q89:R89"/>
    <mergeCell ref="Q90:R90"/>
    <mergeCell ref="Q91:R91"/>
    <mergeCell ref="Q92:R92"/>
    <mergeCell ref="Q94:R94"/>
    <mergeCell ref="Q105:R105"/>
    <mergeCell ref="Q106:R106"/>
    <mergeCell ref="Q107:R107"/>
    <mergeCell ref="Q108:R108"/>
    <mergeCell ref="Q109:R109"/>
    <mergeCell ref="A110:P110"/>
    <mergeCell ref="Q110:R110"/>
    <mergeCell ref="Q99:R99"/>
    <mergeCell ref="Q100:R100"/>
    <mergeCell ref="Q101:R101"/>
    <mergeCell ref="Q102:R102"/>
    <mergeCell ref="Q103:R103"/>
    <mergeCell ref="Q104:R104"/>
    <mergeCell ref="Q117:R117"/>
    <mergeCell ref="Q118:R118"/>
    <mergeCell ref="Q119:R119"/>
    <mergeCell ref="Q120:R120"/>
    <mergeCell ref="Q121:R121"/>
    <mergeCell ref="Q122:R122"/>
    <mergeCell ref="Q111:R111"/>
    <mergeCell ref="Q112:R112"/>
    <mergeCell ref="Q113:R113"/>
    <mergeCell ref="Q114:R114"/>
    <mergeCell ref="Q115:R115"/>
    <mergeCell ref="Q116:R116"/>
    <mergeCell ref="Q129:R129"/>
    <mergeCell ref="Q131:R131"/>
    <mergeCell ref="Q132:R132"/>
    <mergeCell ref="Q133:R135"/>
    <mergeCell ref="Q136:R137"/>
    <mergeCell ref="Q138:R139"/>
    <mergeCell ref="Q123:R123"/>
    <mergeCell ref="Q124:R124"/>
    <mergeCell ref="Q125:R125"/>
    <mergeCell ref="Q126:R126"/>
    <mergeCell ref="Q127:R127"/>
    <mergeCell ref="Q128:R128"/>
    <mergeCell ref="Q130:R130"/>
    <mergeCell ref="Q152:R153"/>
    <mergeCell ref="A154:P154"/>
    <mergeCell ref="Q154:R154"/>
    <mergeCell ref="Q155:R155"/>
    <mergeCell ref="Q156:R156"/>
    <mergeCell ref="Q157:R157"/>
    <mergeCell ref="Q140:R141"/>
    <mergeCell ref="Q143:R144"/>
    <mergeCell ref="Q145:R145"/>
    <mergeCell ref="Q146:R146"/>
    <mergeCell ref="Q147:R149"/>
    <mergeCell ref="Q150:R151"/>
    <mergeCell ref="Q164:R164"/>
    <mergeCell ref="Q165:R165"/>
    <mergeCell ref="Q166:R166"/>
    <mergeCell ref="Q167:R167"/>
    <mergeCell ref="Q168:R168"/>
    <mergeCell ref="Q169:R169"/>
    <mergeCell ref="Q158:R158"/>
    <mergeCell ref="Q159:R159"/>
    <mergeCell ref="Q160:R160"/>
    <mergeCell ref="Q161:R161"/>
    <mergeCell ref="Q162:R162"/>
    <mergeCell ref="Q163:R163"/>
    <mergeCell ref="Q176:R176"/>
    <mergeCell ref="Q177:R177"/>
    <mergeCell ref="Q178:R180"/>
    <mergeCell ref="Q181:R183"/>
    <mergeCell ref="Q184:R186"/>
    <mergeCell ref="A187:P187"/>
    <mergeCell ref="Q187:R187"/>
    <mergeCell ref="Q170:R170"/>
    <mergeCell ref="Q171:R171"/>
    <mergeCell ref="Q172:R172"/>
    <mergeCell ref="Q173:R173"/>
    <mergeCell ref="Q174:R174"/>
    <mergeCell ref="Q175:R175"/>
    <mergeCell ref="Q194:R194"/>
    <mergeCell ref="A196:G196"/>
    <mergeCell ref="A197:G197"/>
    <mergeCell ref="Q188:R188"/>
    <mergeCell ref="Q189:R189"/>
    <mergeCell ref="A191:P191"/>
    <mergeCell ref="Q191:R191"/>
    <mergeCell ref="Q192:R192"/>
    <mergeCell ref="Q193:R193"/>
  </mergeCells>
  <printOptions horizontalCentered="1"/>
  <pageMargins left="0.39370078740157483" right="0.39370078740157483" top="0.6692913385826772" bottom="0.6692913385826772" header="0.11811023622047245" footer="0"/>
  <pageSetup paperSize="9" scale="52" fitToHeight="7" orientation="landscape" r:id="rId1"/>
  <rowBreaks count="2" manualBreakCount="2">
    <brk id="37" max="17" man="1"/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01.02.21</vt:lpstr>
      <vt:lpstr>01.03.21</vt:lpstr>
      <vt:lpstr>01.04.21</vt:lpstr>
      <vt:lpstr>01.05.21</vt:lpstr>
      <vt:lpstr>01.06.21</vt:lpstr>
      <vt:lpstr>01.07.21</vt:lpstr>
      <vt:lpstr>01.08.21</vt:lpstr>
      <vt:lpstr>01.09.21</vt:lpstr>
      <vt:lpstr>01.10.21</vt:lpstr>
      <vt:lpstr>01.11.21</vt:lpstr>
      <vt:lpstr>01.12.21</vt:lpstr>
      <vt:lpstr>01.01.22</vt:lpstr>
      <vt:lpstr>'01.01.22'!Область_печати</vt:lpstr>
      <vt:lpstr>'01.02.21'!Область_печати</vt:lpstr>
      <vt:lpstr>'01.03.21'!Область_печати</vt:lpstr>
      <vt:lpstr>'01.04.21'!Область_печати</vt:lpstr>
      <vt:lpstr>'01.05.21'!Область_печати</vt:lpstr>
      <vt:lpstr>'01.06.21'!Область_печати</vt:lpstr>
      <vt:lpstr>'01.07.21'!Область_печати</vt:lpstr>
      <vt:lpstr>'01.08.21'!Область_печати</vt:lpstr>
      <vt:lpstr>'01.09.21'!Область_печати</vt:lpstr>
      <vt:lpstr>'01.10.21'!Область_печати</vt:lpstr>
      <vt:lpstr>'01.11.21'!Область_печати</vt:lpstr>
      <vt:lpstr>'01.12.21'!Область_печати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</dc:creator>
  <cp:lastModifiedBy>Tcbuh#Dir#1</cp:lastModifiedBy>
  <cp:lastPrinted>2022-01-21T08:00:35Z</cp:lastPrinted>
  <dcterms:created xsi:type="dcterms:W3CDTF">2018-02-14T10:32:04Z</dcterms:created>
  <dcterms:modified xsi:type="dcterms:W3CDTF">2022-01-21T08:00:41Z</dcterms:modified>
</cp:coreProperties>
</file>